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Gmu\TECH ASSIST by GMA Topics\Housing Technical Assistance\MFTE - Multi Unit Housing\2020 work\"/>
    </mc:Choice>
  </mc:AlternateContent>
  <bookViews>
    <workbookView xWindow="0" yWindow="0" windowWidth="25395" windowHeight="12120"/>
  </bookViews>
  <sheets>
    <sheet name="Sheet1" sheetId="1" r:id="rId1"/>
    <sheet name="Sheet2" sheetId="2" r:id="rId2"/>
    <sheet name="Sheet3" sheetId="3" r:id="rId3"/>
    <sheet name="Sheet4"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2" i="2" l="1"/>
  <c r="H70" i="2" l="1"/>
  <c r="I66" i="2"/>
  <c r="I70" i="2" s="1"/>
  <c r="H59" i="2"/>
  <c r="I58" i="2"/>
  <c r="J58" i="2" s="1"/>
  <c r="K58" i="2" s="1"/>
  <c r="L58" i="2" s="1"/>
  <c r="M58" i="2" s="1"/>
  <c r="N58" i="2" s="1"/>
  <c r="O58" i="2" s="1"/>
  <c r="P58" i="2" s="1"/>
  <c r="Q58" i="2" s="1"/>
  <c r="H58" i="2"/>
  <c r="H57" i="2"/>
  <c r="I57" i="2" s="1"/>
  <c r="J57" i="2" s="1"/>
  <c r="K57" i="2" s="1"/>
  <c r="L57" i="2" s="1"/>
  <c r="M57" i="2" s="1"/>
  <c r="N57" i="2" s="1"/>
  <c r="O57" i="2" s="1"/>
  <c r="P57" i="2" s="1"/>
  <c r="Q57" i="2" s="1"/>
  <c r="H56" i="2"/>
  <c r="I56" i="2" s="1"/>
  <c r="J56" i="2" s="1"/>
  <c r="K56" i="2" s="1"/>
  <c r="L56" i="2" s="1"/>
  <c r="M56" i="2" s="1"/>
  <c r="N56" i="2" s="1"/>
  <c r="O56" i="2" s="1"/>
  <c r="P56" i="2" s="1"/>
  <c r="Q56" i="2" s="1"/>
  <c r="H55" i="2"/>
  <c r="I55" i="2" s="1"/>
  <c r="J55" i="2" s="1"/>
  <c r="K55" i="2" s="1"/>
  <c r="L55" i="2" s="1"/>
  <c r="M55" i="2" s="1"/>
  <c r="N55" i="2" s="1"/>
  <c r="O55" i="2" s="1"/>
  <c r="P55" i="2" s="1"/>
  <c r="Q55" i="2" s="1"/>
  <c r="I54" i="2"/>
  <c r="J54" i="2" s="1"/>
  <c r="K54" i="2" s="1"/>
  <c r="L54" i="2" s="1"/>
  <c r="M54" i="2" s="1"/>
  <c r="N54" i="2" s="1"/>
  <c r="O54" i="2" s="1"/>
  <c r="P54" i="2" s="1"/>
  <c r="Q54" i="2" s="1"/>
  <c r="H54" i="2"/>
  <c r="H53" i="2"/>
  <c r="I53" i="2" s="1"/>
  <c r="J53" i="2" s="1"/>
  <c r="K53" i="2" s="1"/>
  <c r="L53" i="2" s="1"/>
  <c r="M53" i="2" s="1"/>
  <c r="N53" i="2" s="1"/>
  <c r="O53" i="2" s="1"/>
  <c r="P53" i="2" s="1"/>
  <c r="Q53" i="2" s="1"/>
  <c r="H52" i="2"/>
  <c r="I52" i="2" s="1"/>
  <c r="J52" i="2" s="1"/>
  <c r="K52" i="2" s="1"/>
  <c r="L52" i="2" s="1"/>
  <c r="M52" i="2" s="1"/>
  <c r="N52" i="2" s="1"/>
  <c r="O52" i="2" s="1"/>
  <c r="P52" i="2" s="1"/>
  <c r="Q52" i="2" s="1"/>
  <c r="H51" i="2"/>
  <c r="I51" i="2" s="1"/>
  <c r="J51" i="2" s="1"/>
  <c r="K51" i="2" s="1"/>
  <c r="L51" i="2" s="1"/>
  <c r="M51" i="2" s="1"/>
  <c r="N51" i="2" s="1"/>
  <c r="O51" i="2" s="1"/>
  <c r="P51" i="2" s="1"/>
  <c r="Q51" i="2" s="1"/>
  <c r="H50" i="2"/>
  <c r="H49" i="2"/>
  <c r="I49" i="2" s="1"/>
  <c r="J49" i="2" s="1"/>
  <c r="K49" i="2" s="1"/>
  <c r="L49" i="2" s="1"/>
  <c r="M49" i="2" s="1"/>
  <c r="N49" i="2" s="1"/>
  <c r="O49" i="2" s="1"/>
  <c r="P49" i="2" s="1"/>
  <c r="Q49" i="2" s="1"/>
  <c r="I48" i="2"/>
  <c r="H48" i="2"/>
  <c r="H62" i="2" s="1"/>
  <c r="H42" i="2"/>
  <c r="H41" i="2"/>
  <c r="I36" i="2"/>
  <c r="J36" i="2" s="1"/>
  <c r="K36" i="2" s="1"/>
  <c r="L36" i="2" s="1"/>
  <c r="M36" i="2" s="1"/>
  <c r="N36" i="2" s="1"/>
  <c r="O36" i="2" s="1"/>
  <c r="P36" i="2" s="1"/>
  <c r="Q36" i="2" s="1"/>
  <c r="J35" i="2"/>
  <c r="K35" i="2" s="1"/>
  <c r="L35" i="2" s="1"/>
  <c r="M35" i="2" s="1"/>
  <c r="N35" i="2" s="1"/>
  <c r="O35" i="2" s="1"/>
  <c r="P35" i="2" s="1"/>
  <c r="Q35" i="2" s="1"/>
  <c r="I35" i="2"/>
  <c r="I34" i="2"/>
  <c r="J34" i="2" s="1"/>
  <c r="K34" i="2" s="1"/>
  <c r="L34" i="2" s="1"/>
  <c r="M34" i="2" s="1"/>
  <c r="N34" i="2" s="1"/>
  <c r="O34" i="2" s="1"/>
  <c r="P34" i="2" s="1"/>
  <c r="Q34" i="2" s="1"/>
  <c r="I33" i="2"/>
  <c r="J33" i="2" s="1"/>
  <c r="K33" i="2" s="1"/>
  <c r="L33" i="2" s="1"/>
  <c r="M33" i="2" s="1"/>
  <c r="N33" i="2" s="1"/>
  <c r="O33" i="2" s="1"/>
  <c r="P33" i="2" s="1"/>
  <c r="Q33" i="2" s="1"/>
  <c r="H31" i="2"/>
  <c r="H38" i="2" s="1"/>
  <c r="I31" i="2" l="1"/>
  <c r="I38" i="2" s="1"/>
  <c r="J66" i="2"/>
  <c r="J70" i="2" s="1"/>
  <c r="H40" i="2"/>
  <c r="H43" i="2" s="1"/>
  <c r="H45" i="2"/>
  <c r="H72" i="2" s="1"/>
  <c r="I62" i="2"/>
  <c r="I40" i="2"/>
  <c r="I43" i="2" s="1"/>
  <c r="I45" i="2" s="1"/>
  <c r="I72" i="2" s="1"/>
  <c r="J48" i="2"/>
  <c r="K66" i="2"/>
  <c r="J31" i="2"/>
  <c r="H70" i="1"/>
  <c r="I66" i="1"/>
  <c r="J66" i="1" s="1"/>
  <c r="I48" i="1"/>
  <c r="J48" i="1" s="1"/>
  <c r="K48" i="1" s="1"/>
  <c r="L48" i="1" s="1"/>
  <c r="M48" i="1" s="1"/>
  <c r="N48" i="1" s="1"/>
  <c r="O48" i="1" s="1"/>
  <c r="P48" i="1" s="1"/>
  <c r="Q48" i="1" s="1"/>
  <c r="H59" i="1"/>
  <c r="H58" i="1"/>
  <c r="I58" i="1" s="1"/>
  <c r="J58" i="1" s="1"/>
  <c r="K58" i="1" s="1"/>
  <c r="L58" i="1" s="1"/>
  <c r="M58" i="1" s="1"/>
  <c r="N58" i="1" s="1"/>
  <c r="O58" i="1" s="1"/>
  <c r="P58" i="1" s="1"/>
  <c r="Q58" i="1" s="1"/>
  <c r="H57" i="1"/>
  <c r="I57" i="1" s="1"/>
  <c r="J57" i="1" s="1"/>
  <c r="K57" i="1" s="1"/>
  <c r="L57" i="1" s="1"/>
  <c r="M57" i="1" s="1"/>
  <c r="N57" i="1" s="1"/>
  <c r="O57" i="1" s="1"/>
  <c r="P57" i="1" s="1"/>
  <c r="Q57" i="1" s="1"/>
  <c r="H56" i="1"/>
  <c r="I56" i="1" s="1"/>
  <c r="J56" i="1" s="1"/>
  <c r="K56" i="1" s="1"/>
  <c r="L56" i="1" s="1"/>
  <c r="M56" i="1" s="1"/>
  <c r="N56" i="1" s="1"/>
  <c r="O56" i="1" s="1"/>
  <c r="P56" i="1" s="1"/>
  <c r="Q56" i="1" s="1"/>
  <c r="H55" i="1"/>
  <c r="I55" i="1" s="1"/>
  <c r="J55" i="1" s="1"/>
  <c r="K55" i="1" s="1"/>
  <c r="L55" i="1" s="1"/>
  <c r="M55" i="1" s="1"/>
  <c r="N55" i="1" s="1"/>
  <c r="O55" i="1" s="1"/>
  <c r="P55" i="1" s="1"/>
  <c r="Q55" i="1" s="1"/>
  <c r="H54" i="1"/>
  <c r="I54" i="1" s="1"/>
  <c r="J54" i="1" s="1"/>
  <c r="K54" i="1" s="1"/>
  <c r="L54" i="1" s="1"/>
  <c r="M54" i="1" s="1"/>
  <c r="N54" i="1" s="1"/>
  <c r="O54" i="1" s="1"/>
  <c r="P54" i="1" s="1"/>
  <c r="Q54" i="1" s="1"/>
  <c r="H53" i="1"/>
  <c r="I53" i="1" s="1"/>
  <c r="J53" i="1" s="1"/>
  <c r="K53" i="1" s="1"/>
  <c r="L53" i="1" s="1"/>
  <c r="M53" i="1" s="1"/>
  <c r="N53" i="1" s="1"/>
  <c r="O53" i="1" s="1"/>
  <c r="P53" i="1" s="1"/>
  <c r="Q53" i="1" s="1"/>
  <c r="H51" i="1"/>
  <c r="I51" i="1" s="1"/>
  <c r="J51" i="1" s="1"/>
  <c r="K51" i="1" s="1"/>
  <c r="L51" i="1" s="1"/>
  <c r="M51" i="1" s="1"/>
  <c r="N51" i="1" s="1"/>
  <c r="O51" i="1" s="1"/>
  <c r="P51" i="1" s="1"/>
  <c r="Q51" i="1" s="1"/>
  <c r="H50" i="1"/>
  <c r="H49" i="1"/>
  <c r="I49" i="1" s="1"/>
  <c r="J49" i="1" s="1"/>
  <c r="K49" i="1" s="1"/>
  <c r="L49" i="1" s="1"/>
  <c r="M49" i="1" s="1"/>
  <c r="N49" i="1" s="1"/>
  <c r="O49" i="1" s="1"/>
  <c r="P49" i="1" s="1"/>
  <c r="Q49" i="1" s="1"/>
  <c r="H48" i="1"/>
  <c r="I70" i="1" l="1"/>
  <c r="J62" i="2"/>
  <c r="K48" i="2"/>
  <c r="J38" i="2"/>
  <c r="K31" i="2"/>
  <c r="K70" i="2"/>
  <c r="L66" i="2"/>
  <c r="K66" i="1"/>
  <c r="J70" i="1"/>
  <c r="I36" i="1"/>
  <c r="J36" i="1" s="1"/>
  <c r="K36" i="1" s="1"/>
  <c r="L36" i="1" s="1"/>
  <c r="M36" i="1" s="1"/>
  <c r="N36" i="1" s="1"/>
  <c r="O36" i="1" s="1"/>
  <c r="P36" i="1" s="1"/>
  <c r="Q36" i="1" s="1"/>
  <c r="I35" i="1"/>
  <c r="J35" i="1" s="1"/>
  <c r="K35" i="1" s="1"/>
  <c r="L35" i="1" s="1"/>
  <c r="M35" i="1" s="1"/>
  <c r="N35" i="1" s="1"/>
  <c r="O35" i="1" s="1"/>
  <c r="P35" i="1" s="1"/>
  <c r="Q35" i="1" s="1"/>
  <c r="I34" i="1"/>
  <c r="J34" i="1" s="1"/>
  <c r="K34" i="1" s="1"/>
  <c r="L34" i="1" s="1"/>
  <c r="M34" i="1" s="1"/>
  <c r="N34" i="1" s="1"/>
  <c r="O34" i="1" s="1"/>
  <c r="P34" i="1" s="1"/>
  <c r="Q34" i="1" s="1"/>
  <c r="I33" i="1"/>
  <c r="J33" i="1" s="1"/>
  <c r="K33" i="1" s="1"/>
  <c r="L33" i="1" s="1"/>
  <c r="M33" i="1" s="1"/>
  <c r="N33" i="1" s="1"/>
  <c r="O33" i="1" s="1"/>
  <c r="P33" i="1" s="1"/>
  <c r="Q33" i="1" s="1"/>
  <c r="J40" i="2" l="1"/>
  <c r="J43" i="2" s="1"/>
  <c r="J45" i="2" s="1"/>
  <c r="J72" i="2" s="1"/>
  <c r="M66" i="2"/>
  <c r="L70" i="2"/>
  <c r="L48" i="2"/>
  <c r="K62" i="2"/>
  <c r="L31" i="2"/>
  <c r="K38" i="2"/>
  <c r="L66" i="1"/>
  <c r="K70" i="1"/>
  <c r="K40" i="2" l="1"/>
  <c r="K43" i="2" s="1"/>
  <c r="K45" i="2"/>
  <c r="K72" i="2" s="1"/>
  <c r="M31" i="2"/>
  <c r="L38" i="2"/>
  <c r="N66" i="2"/>
  <c r="M70" i="2"/>
  <c r="M48" i="2"/>
  <c r="L62" i="2"/>
  <c r="M66" i="1"/>
  <c r="L70" i="1"/>
  <c r="M5" i="3"/>
  <c r="G24" i="3"/>
  <c r="G17" i="3"/>
  <c r="G16" i="3"/>
  <c r="G15" i="3"/>
  <c r="G9" i="3"/>
  <c r="F24" i="3"/>
  <c r="F23" i="3"/>
  <c r="F15" i="3"/>
  <c r="F14" i="3"/>
  <c r="D24" i="3"/>
  <c r="D23" i="3"/>
  <c r="D22" i="3"/>
  <c r="D21" i="3"/>
  <c r="D19" i="3"/>
  <c r="D18" i="3"/>
  <c r="D17" i="3"/>
  <c r="D16" i="3"/>
  <c r="D15" i="3"/>
  <c r="D14" i="3"/>
  <c r="D13" i="3"/>
  <c r="D12" i="3"/>
  <c r="D11" i="3"/>
  <c r="D10" i="3"/>
  <c r="D9" i="3"/>
  <c r="C24" i="3"/>
  <c r="C23" i="3"/>
  <c r="C22" i="3"/>
  <c r="C21" i="3"/>
  <c r="C20" i="3"/>
  <c r="C19" i="3"/>
  <c r="C18" i="3"/>
  <c r="C17" i="3"/>
  <c r="C16" i="3"/>
  <c r="C15" i="3"/>
  <c r="C14" i="3"/>
  <c r="C13" i="3"/>
  <c r="C12" i="3"/>
  <c r="C11" i="3"/>
  <c r="C10" i="3"/>
  <c r="C9" i="3"/>
  <c r="G5" i="3"/>
  <c r="J5" i="3" s="1"/>
  <c r="F4" i="3"/>
  <c r="F22" i="3" s="1"/>
  <c r="F20" i="3"/>
  <c r="AC25" i="3"/>
  <c r="Z25" i="3"/>
  <c r="W25" i="3"/>
  <c r="T25" i="3"/>
  <c r="Q25" i="3"/>
  <c r="N25" i="3"/>
  <c r="K25" i="3"/>
  <c r="H25" i="3"/>
  <c r="E25" i="3"/>
  <c r="F16" i="3" l="1"/>
  <c r="I4" i="3"/>
  <c r="M16" i="3"/>
  <c r="P5" i="3"/>
  <c r="M14" i="3"/>
  <c r="M13" i="3"/>
  <c r="M12" i="3"/>
  <c r="M10" i="3"/>
  <c r="M24" i="3"/>
  <c r="M15" i="3"/>
  <c r="M23" i="3"/>
  <c r="M22" i="3"/>
  <c r="M11" i="3"/>
  <c r="M17" i="3"/>
  <c r="M19" i="3"/>
  <c r="M9" i="3"/>
  <c r="M27" i="3" s="1"/>
  <c r="M21" i="3"/>
  <c r="M18" i="3"/>
  <c r="J19" i="3"/>
  <c r="J21" i="3"/>
  <c r="J17" i="3"/>
  <c r="J16" i="3"/>
  <c r="J23" i="3"/>
  <c r="J22" i="3"/>
  <c r="J18" i="3"/>
  <c r="J13" i="3"/>
  <c r="J24" i="3"/>
  <c r="J14" i="3"/>
  <c r="J12" i="3"/>
  <c r="J10" i="3"/>
  <c r="J9" i="3"/>
  <c r="F9" i="3"/>
  <c r="F17" i="3"/>
  <c r="G10" i="3"/>
  <c r="G18" i="3"/>
  <c r="F10" i="3"/>
  <c r="F18" i="3"/>
  <c r="G11" i="3"/>
  <c r="G19" i="3"/>
  <c r="J15" i="3"/>
  <c r="F11" i="3"/>
  <c r="F19" i="3"/>
  <c r="G12" i="3"/>
  <c r="G21" i="3"/>
  <c r="J11" i="3"/>
  <c r="F12" i="3"/>
  <c r="F21" i="3"/>
  <c r="G13" i="3"/>
  <c r="G22" i="3"/>
  <c r="F13" i="3"/>
  <c r="G14" i="3"/>
  <c r="G23" i="3"/>
  <c r="L40" i="2"/>
  <c r="L43" i="2" s="1"/>
  <c r="L45" i="2"/>
  <c r="L72" i="2" s="1"/>
  <c r="M62" i="2"/>
  <c r="N48" i="2"/>
  <c r="M38" i="2"/>
  <c r="N31" i="2"/>
  <c r="N70" i="2"/>
  <c r="O66" i="2"/>
  <c r="N66" i="1"/>
  <c r="M70" i="1"/>
  <c r="C27" i="3"/>
  <c r="D27" i="3"/>
  <c r="J27" i="3" l="1"/>
  <c r="D28" i="3"/>
  <c r="P14" i="3"/>
  <c r="P9" i="3"/>
  <c r="P21" i="3"/>
  <c r="P16" i="3"/>
  <c r="P12" i="3"/>
  <c r="P19" i="3"/>
  <c r="P13" i="3"/>
  <c r="P23" i="3"/>
  <c r="P17" i="3"/>
  <c r="P15" i="3"/>
  <c r="P11" i="3"/>
  <c r="P22" i="3"/>
  <c r="P24" i="3"/>
  <c r="P10" i="3"/>
  <c r="P18" i="3"/>
  <c r="S5" i="3"/>
  <c r="I22" i="3"/>
  <c r="I13" i="3"/>
  <c r="I24" i="3"/>
  <c r="I23" i="3"/>
  <c r="I21" i="3"/>
  <c r="I12" i="3"/>
  <c r="I14" i="3"/>
  <c r="I19" i="3"/>
  <c r="I11" i="3"/>
  <c r="I18" i="3"/>
  <c r="I10" i="3"/>
  <c r="I17" i="3"/>
  <c r="I9" i="3"/>
  <c r="L4" i="3"/>
  <c r="I15" i="3"/>
  <c r="I16" i="3"/>
  <c r="N38" i="2"/>
  <c r="O31" i="2"/>
  <c r="O70" i="2"/>
  <c r="P66" i="2"/>
  <c r="N62" i="2"/>
  <c r="O48" i="2"/>
  <c r="M40" i="2"/>
  <c r="M43" i="2" s="1"/>
  <c r="M45" i="2" s="1"/>
  <c r="M72" i="2" s="1"/>
  <c r="O66" i="1"/>
  <c r="N70" i="1"/>
  <c r="F27" i="3"/>
  <c r="G27" i="3"/>
  <c r="P27" i="3" l="1"/>
  <c r="S22" i="3"/>
  <c r="S10" i="3"/>
  <c r="S17" i="3"/>
  <c r="S15" i="3"/>
  <c r="S21" i="3"/>
  <c r="S11" i="3"/>
  <c r="S24" i="3"/>
  <c r="S13" i="3"/>
  <c r="S19" i="3"/>
  <c r="S12" i="3"/>
  <c r="S18" i="3"/>
  <c r="S14" i="3"/>
  <c r="V5" i="3"/>
  <c r="S9" i="3"/>
  <c r="S23" i="3"/>
  <c r="S16" i="3"/>
  <c r="O4" i="3"/>
  <c r="L21" i="3"/>
  <c r="L13" i="3"/>
  <c r="L22" i="3"/>
  <c r="L20" i="3"/>
  <c r="L12" i="3"/>
  <c r="L19" i="3"/>
  <c r="L11" i="3"/>
  <c r="L15" i="3"/>
  <c r="L18" i="3"/>
  <c r="L10" i="3"/>
  <c r="L23" i="3"/>
  <c r="L17" i="3"/>
  <c r="L9" i="3"/>
  <c r="L24" i="3"/>
  <c r="L16" i="3"/>
  <c r="L14" i="3"/>
  <c r="G28" i="3"/>
  <c r="Q66" i="2"/>
  <c r="Q70" i="2" s="1"/>
  <c r="P70" i="2"/>
  <c r="P48" i="2"/>
  <c r="O62" i="2"/>
  <c r="P31" i="2"/>
  <c r="O38" i="2"/>
  <c r="N40" i="2"/>
  <c r="N43" i="2" s="1"/>
  <c r="N45" i="2" s="1"/>
  <c r="N72" i="2" s="1"/>
  <c r="P66" i="1"/>
  <c r="O70" i="1"/>
  <c r="I27" i="3"/>
  <c r="J28" i="3" s="1"/>
  <c r="Y5" i="3" l="1"/>
  <c r="V17" i="3"/>
  <c r="V12" i="3"/>
  <c r="V23" i="3"/>
  <c r="V22" i="3"/>
  <c r="V19" i="3"/>
  <c r="V15" i="3"/>
  <c r="V16" i="3"/>
  <c r="V13" i="3"/>
  <c r="V10" i="3"/>
  <c r="V18" i="3"/>
  <c r="V21" i="3"/>
  <c r="V11" i="3"/>
  <c r="V9" i="3"/>
  <c r="V14" i="3"/>
  <c r="V24" i="3"/>
  <c r="L27" i="3"/>
  <c r="M28" i="3" s="1"/>
  <c r="O22" i="3"/>
  <c r="O17" i="3"/>
  <c r="O13" i="3"/>
  <c r="O19" i="3"/>
  <c r="O16" i="3"/>
  <c r="O23" i="3"/>
  <c r="O14" i="3"/>
  <c r="O10" i="3"/>
  <c r="O21" i="3"/>
  <c r="O12" i="3"/>
  <c r="O15" i="3"/>
  <c r="O24" i="3"/>
  <c r="O18" i="3"/>
  <c r="O9" i="3"/>
  <c r="O11" i="3"/>
  <c r="R4" i="3"/>
  <c r="S27" i="3"/>
  <c r="P62" i="2"/>
  <c r="Q48" i="2"/>
  <c r="Q62" i="2" s="1"/>
  <c r="O40" i="2"/>
  <c r="O43" i="2" s="1"/>
  <c r="O45" i="2"/>
  <c r="O72" i="2" s="1"/>
  <c r="P38" i="2"/>
  <c r="Q31" i="2"/>
  <c r="Q38" i="2" s="1"/>
  <c r="Q66" i="1"/>
  <c r="Q70" i="1" s="1"/>
  <c r="P70" i="1"/>
  <c r="V27" i="3" l="1"/>
  <c r="O27" i="3"/>
  <c r="P28" i="3" s="1"/>
  <c r="R18" i="3"/>
  <c r="R22" i="3"/>
  <c r="R13" i="3"/>
  <c r="R19" i="3"/>
  <c r="R17" i="3"/>
  <c r="R11" i="3"/>
  <c r="R14" i="3"/>
  <c r="R16" i="3"/>
  <c r="R10" i="3"/>
  <c r="R24" i="3"/>
  <c r="U4" i="3"/>
  <c r="R9" i="3"/>
  <c r="R12" i="3"/>
  <c r="R15" i="3"/>
  <c r="R23" i="3"/>
  <c r="R21" i="3"/>
  <c r="Y17" i="3"/>
  <c r="Y9" i="3"/>
  <c r="Y12" i="3"/>
  <c r="Y16" i="3"/>
  <c r="Y21" i="3"/>
  <c r="Y10" i="3"/>
  <c r="Y24" i="3"/>
  <c r="Y15" i="3"/>
  <c r="Y13" i="3"/>
  <c r="Y23" i="3"/>
  <c r="Y14" i="3"/>
  <c r="AB5" i="3"/>
  <c r="Y22" i="3"/>
  <c r="Y18" i="3"/>
  <c r="Y19" i="3"/>
  <c r="Y11" i="3"/>
  <c r="Q40" i="2"/>
  <c r="Q43" i="2" s="1"/>
  <c r="Q45" i="2" s="1"/>
  <c r="Q72" i="2" s="1"/>
  <c r="P40" i="2"/>
  <c r="P43" i="2" s="1"/>
  <c r="P45" i="2"/>
  <c r="P72" i="2" s="1"/>
  <c r="U21" i="3" l="1"/>
  <c r="U12" i="3"/>
  <c r="U15" i="3"/>
  <c r="U19" i="3"/>
  <c r="U11" i="3"/>
  <c r="U16" i="3"/>
  <c r="U24" i="3"/>
  <c r="U18" i="3"/>
  <c r="U10" i="3"/>
  <c r="U22" i="3"/>
  <c r="X4" i="3"/>
  <c r="U17" i="3"/>
  <c r="U9" i="3"/>
  <c r="U23" i="3"/>
  <c r="U13" i="3"/>
  <c r="U14" i="3"/>
  <c r="R27" i="3"/>
  <c r="S28" i="3" s="1"/>
  <c r="Y27" i="3"/>
  <c r="AB17" i="3"/>
  <c r="AB9" i="3"/>
  <c r="AB21" i="3"/>
  <c r="AB18" i="3"/>
  <c r="AB16" i="3"/>
  <c r="AB10" i="3"/>
  <c r="AB24" i="3"/>
  <c r="AB15" i="3"/>
  <c r="AB12" i="3"/>
  <c r="AB23" i="3"/>
  <c r="AB14" i="3"/>
  <c r="AB22" i="3"/>
  <c r="AB13" i="3"/>
  <c r="AE5" i="3"/>
  <c r="AB19" i="3"/>
  <c r="AB11" i="3"/>
  <c r="U27" i="3" l="1"/>
  <c r="V28" i="3" s="1"/>
  <c r="AB27" i="3"/>
  <c r="AE23" i="3"/>
  <c r="AE14" i="3"/>
  <c r="AE22" i="3"/>
  <c r="AE24" i="3"/>
  <c r="AE13" i="3"/>
  <c r="AE10" i="3"/>
  <c r="AE9" i="3"/>
  <c r="AE16" i="3"/>
  <c r="AE21" i="3"/>
  <c r="AE12" i="3"/>
  <c r="AE18" i="3"/>
  <c r="AE19" i="3"/>
  <c r="AE11" i="3"/>
  <c r="AE17" i="3"/>
  <c r="AE15" i="3"/>
  <c r="X16" i="3"/>
  <c r="X12" i="3"/>
  <c r="X17" i="3"/>
  <c r="X24" i="3"/>
  <c r="X15" i="3"/>
  <c r="X21" i="3"/>
  <c r="X11" i="3"/>
  <c r="X23" i="3"/>
  <c r="X14" i="3"/>
  <c r="AA4" i="3"/>
  <c r="X19" i="3"/>
  <c r="X22" i="3"/>
  <c r="X13" i="3"/>
  <c r="X9" i="3"/>
  <c r="X27" i="3" s="1"/>
  <c r="Y28" i="3" s="1"/>
  <c r="X18" i="3"/>
  <c r="X10" i="3"/>
  <c r="B25" i="3"/>
  <c r="AD4" i="3" l="1"/>
  <c r="AA19" i="3"/>
  <c r="AA14" i="3"/>
  <c r="AA13" i="3"/>
  <c r="AA24" i="3"/>
  <c r="AA15" i="3"/>
  <c r="AA22" i="3"/>
  <c r="AA23" i="3"/>
  <c r="AA18" i="3"/>
  <c r="AA11" i="3"/>
  <c r="AA21" i="3"/>
  <c r="AA10" i="3"/>
  <c r="AA12" i="3"/>
  <c r="AA9" i="3"/>
  <c r="AA16" i="3"/>
  <c r="AA17" i="3"/>
  <c r="AE27" i="3"/>
  <c r="H52" i="1"/>
  <c r="H42" i="1"/>
  <c r="H41" i="1"/>
  <c r="AA27" i="3" l="1"/>
  <c r="AB28" i="3" s="1"/>
  <c r="AD18" i="3"/>
  <c r="AD21" i="3"/>
  <c r="AD9" i="3"/>
  <c r="AD16" i="3"/>
  <c r="AD10" i="3"/>
  <c r="AD12" i="3"/>
  <c r="AD17" i="3"/>
  <c r="AD14" i="3"/>
  <c r="AD23" i="3"/>
  <c r="AD24" i="3"/>
  <c r="AD13" i="3"/>
  <c r="AD19" i="3"/>
  <c r="AD11" i="3"/>
  <c r="AD15" i="3"/>
  <c r="AD22" i="3"/>
  <c r="I52" i="1"/>
  <c r="H62" i="1"/>
  <c r="H31" i="1"/>
  <c r="H38" i="1" s="1"/>
  <c r="AD27" i="3" l="1"/>
  <c r="AE28" i="3" s="1"/>
  <c r="J52" i="1"/>
  <c r="I62" i="1"/>
  <c r="H40" i="1"/>
  <c r="H43" i="1" s="1"/>
  <c r="H45" i="1" s="1"/>
  <c r="H72" i="1" s="1"/>
  <c r="I31" i="1"/>
  <c r="K52" i="1" l="1"/>
  <c r="J62" i="1"/>
  <c r="I38" i="1"/>
  <c r="J31" i="1"/>
  <c r="J38" i="1" s="1"/>
  <c r="L52" i="1" l="1"/>
  <c r="K62" i="1"/>
  <c r="I40" i="1"/>
  <c r="I43" i="1" s="1"/>
  <c r="I45" i="1" s="1"/>
  <c r="I72" i="1" s="1"/>
  <c r="J40" i="1"/>
  <c r="J43" i="1" s="1"/>
  <c r="J45" i="1" s="1"/>
  <c r="J72" i="1" s="1"/>
  <c r="K31" i="1"/>
  <c r="M52" i="1" l="1"/>
  <c r="L62" i="1"/>
  <c r="K38" i="1"/>
  <c r="L31" i="1"/>
  <c r="L38" i="1" s="1"/>
  <c r="N52" i="1" l="1"/>
  <c r="M62" i="1"/>
  <c r="K40" i="1"/>
  <c r="K43" i="1" s="1"/>
  <c r="K45" i="1" s="1"/>
  <c r="K72" i="1" s="1"/>
  <c r="L40" i="1"/>
  <c r="L43" i="1" s="1"/>
  <c r="L45" i="1" s="1"/>
  <c r="L72" i="1" s="1"/>
  <c r="M31" i="1"/>
  <c r="O52" i="1" l="1"/>
  <c r="N62" i="1"/>
  <c r="M38" i="1"/>
  <c r="N31" i="1"/>
  <c r="N38" i="1" s="1"/>
  <c r="P52" i="1" l="1"/>
  <c r="O62" i="1"/>
  <c r="M40" i="1"/>
  <c r="M43" i="1" s="1"/>
  <c r="M45" i="1" s="1"/>
  <c r="M72" i="1" s="1"/>
  <c r="N40" i="1"/>
  <c r="N43" i="1" s="1"/>
  <c r="N45" i="1" s="1"/>
  <c r="N72" i="1" s="1"/>
  <c r="O31" i="1"/>
  <c r="Q52" i="1" l="1"/>
  <c r="Q62" i="1" s="1"/>
  <c r="P62" i="1"/>
  <c r="O38" i="1"/>
  <c r="P31" i="1"/>
  <c r="O40" i="1" l="1"/>
  <c r="O43" i="1" s="1"/>
  <c r="O45" i="1" s="1"/>
  <c r="O72" i="1" s="1"/>
  <c r="R72" i="1" s="1"/>
  <c r="P38" i="1"/>
  <c r="Q31" i="1"/>
  <c r="Q38" i="1" s="1"/>
  <c r="Q40" i="1" l="1"/>
  <c r="Q43" i="1" s="1"/>
  <c r="Q45" i="1" s="1"/>
  <c r="Q72" i="1" s="1"/>
  <c r="P40" i="1"/>
  <c r="P43" i="1" s="1"/>
  <c r="P45" i="1" s="1"/>
  <c r="P72" i="1" s="1"/>
</calcChain>
</file>

<file path=xl/comments1.xml><?xml version="1.0" encoding="utf-8"?>
<comments xmlns="http://schemas.openxmlformats.org/spreadsheetml/2006/main">
  <authors>
    <author>David Bugher</author>
  </authors>
  <commentList>
    <comment ref="A4" authorId="0" shapeId="0">
      <text>
        <r>
          <rPr>
            <b/>
            <sz val="9"/>
            <color indexed="81"/>
            <rFont val="Tahoma"/>
            <family val="2"/>
          </rPr>
          <t>David Bugher:</t>
        </r>
        <r>
          <rPr>
            <sz val="9"/>
            <color indexed="81"/>
            <rFont val="Tahoma"/>
            <family val="2"/>
          </rPr>
          <t xml:space="preserve">  Assumes a 7.25% increase per year.  This is based on the average increase in assessed land values between tax years 2012 through 2020.
</t>
        </r>
      </text>
    </comment>
    <comment ref="A5" authorId="0" shapeId="0">
      <text>
        <r>
          <rPr>
            <b/>
            <sz val="9"/>
            <color indexed="81"/>
            <rFont val="Tahoma"/>
            <family val="2"/>
          </rPr>
          <t>David Bugher:</t>
        </r>
        <r>
          <rPr>
            <sz val="9"/>
            <color indexed="81"/>
            <rFont val="Tahoma"/>
            <family val="2"/>
          </rPr>
          <t xml:space="preserve">Assumes a 4.3% increase per year.  This is based on the average increase in assessed land values between tax years 2012 through 2020.
</t>
        </r>
      </text>
    </comment>
  </commentList>
</comments>
</file>

<file path=xl/sharedStrings.xml><?xml version="1.0" encoding="utf-8"?>
<sst xmlns="http://schemas.openxmlformats.org/spreadsheetml/2006/main" count="211" uniqueCount="109">
  <si>
    <t>Income</t>
  </si>
  <si>
    <t>Expenses</t>
  </si>
  <si>
    <t>Average rent per unit per month:</t>
  </si>
  <si>
    <t xml:space="preserve">Total development cost:  </t>
  </si>
  <si>
    <t>Average unit size (SF):</t>
  </si>
  <si>
    <t xml:space="preserve">Number of units:  </t>
  </si>
  <si>
    <t>Assumptions:</t>
  </si>
  <si>
    <t xml:space="preserve">Annual rent Increase: </t>
  </si>
  <si>
    <t>Loan amount:</t>
  </si>
  <si>
    <t>Loan type:</t>
  </si>
  <si>
    <t>Debt service (annual):</t>
  </si>
  <si>
    <t>Year 9</t>
  </si>
  <si>
    <t xml:space="preserve">Year 10 </t>
  </si>
  <si>
    <r>
      <t xml:space="preserve">Project Name:  </t>
    </r>
    <r>
      <rPr>
        <sz val="11"/>
        <color theme="1"/>
        <rFont val="Calibri"/>
        <family val="2"/>
        <scheme val="minor"/>
      </rPr>
      <t xml:space="preserve">Springbrook Lane Apartments </t>
    </r>
  </si>
  <si>
    <t>Taxes</t>
  </si>
  <si>
    <t xml:space="preserve">Is this a tax-exempt or housing credit property?  </t>
  </si>
  <si>
    <t>No</t>
  </si>
  <si>
    <t>MFTE credit (8 or 12 years)</t>
  </si>
  <si>
    <r>
      <rPr>
        <b/>
        <sz val="11"/>
        <color theme="1"/>
        <rFont val="Calibri"/>
        <family val="2"/>
        <scheme val="minor"/>
      </rPr>
      <t>Address:</t>
    </r>
    <r>
      <rPr>
        <sz val="11"/>
        <color theme="1"/>
        <rFont val="Calibri"/>
        <family val="2"/>
        <scheme val="minor"/>
      </rPr>
      <t xml:space="preserve">  12623 Bridgeport Way SW, Lakewood </t>
    </r>
  </si>
  <si>
    <t>Collection losses ($103/unit)</t>
  </si>
  <si>
    <t>Rental concessions ($101/unit)</t>
  </si>
  <si>
    <t xml:space="preserve">Annual expenses increase:  </t>
  </si>
  <si>
    <t>Calculated vacancy rate per year:</t>
  </si>
  <si>
    <t>Taxing District</t>
  </si>
  <si>
    <t>Conservation Futures</t>
  </si>
  <si>
    <t>Flood Control Zone</t>
  </si>
  <si>
    <t xml:space="preserve">Port of Tacoma </t>
  </si>
  <si>
    <t>Pierce County Library</t>
  </si>
  <si>
    <t xml:space="preserve">City of Lakewood </t>
  </si>
  <si>
    <t>Pierce County</t>
  </si>
  <si>
    <t>State</t>
  </si>
  <si>
    <t>Lakewood Water District</t>
  </si>
  <si>
    <t>Fire District - Bond 2</t>
  </si>
  <si>
    <t>Fire District - M&amp;O</t>
  </si>
  <si>
    <t>CPSD - Bond 400</t>
  </si>
  <si>
    <t>Total - All Property Taxes</t>
  </si>
  <si>
    <t>Fees &amp; Other Taxes</t>
  </si>
  <si>
    <t>Surface Water Management</t>
  </si>
  <si>
    <t>Weed Control</t>
  </si>
  <si>
    <t>ST RTA</t>
  </si>
  <si>
    <t>Fire District - No. 3 EMS</t>
  </si>
  <si>
    <t>State School Levy 2</t>
  </si>
  <si>
    <t>Fire District No. 3 Expense</t>
  </si>
  <si>
    <t xml:space="preserve">CPSD No. 400 Enrichment </t>
  </si>
  <si>
    <t xml:space="preserve">Tax Rate </t>
  </si>
  <si>
    <t>MFTE 2020</t>
  </si>
  <si>
    <t>MFTE 2021</t>
  </si>
  <si>
    <t>MFTE 2022</t>
  </si>
  <si>
    <t>MFTE 2023</t>
  </si>
  <si>
    <t>MFTE 2024</t>
  </si>
  <si>
    <t>MFTE 2025</t>
  </si>
  <si>
    <t>MFTE 2026</t>
  </si>
  <si>
    <t>MFTE 2027</t>
  </si>
  <si>
    <t>Improvement</t>
  </si>
  <si>
    <t xml:space="preserve">Land </t>
  </si>
  <si>
    <t xml:space="preserve">Assessed Land Value 2019 :  </t>
  </si>
  <si>
    <t xml:space="preserve">Assessed Imp Value 2019:  </t>
  </si>
  <si>
    <t xml:space="preserve">Improvement </t>
  </si>
  <si>
    <t>Year 8 (MFTE)</t>
  </si>
  <si>
    <t>Year 7 (MFTE)</t>
  </si>
  <si>
    <t>Year 6 (MFTE)</t>
  </si>
  <si>
    <t>Year 5 (MFTE)</t>
  </si>
  <si>
    <t>Year 4 (MFTE)</t>
  </si>
  <si>
    <t>Year 3 (MFTE)</t>
  </si>
  <si>
    <t>Year 2 (MFTE)</t>
  </si>
  <si>
    <t>Year 1 (MFTE)</t>
  </si>
  <si>
    <r>
      <rPr>
        <b/>
        <sz val="11"/>
        <color theme="1"/>
        <rFont val="Calibri"/>
        <family val="2"/>
        <scheme val="minor"/>
      </rPr>
      <t>Analysis:</t>
    </r>
    <r>
      <rPr>
        <sz val="11"/>
        <color theme="1"/>
        <rFont val="Calibri"/>
        <family val="2"/>
        <scheme val="minor"/>
      </rPr>
      <t xml:space="preserve">  With 8-Year Tax Exemption beginnning in 2020</t>
    </r>
  </si>
  <si>
    <t>Land value:</t>
  </si>
  <si>
    <t xml:space="preserve">Average development cost per unit:  </t>
  </si>
  <si>
    <t>Annual increase in land valuation:</t>
  </si>
  <si>
    <t>Annual increase in improvement valuation:</t>
  </si>
  <si>
    <t>Other income</t>
  </si>
  <si>
    <t>Carport rent</t>
  </si>
  <si>
    <t>Garage rent</t>
  </si>
  <si>
    <t>Pet rent</t>
  </si>
  <si>
    <t xml:space="preserve">Top floor premium </t>
  </si>
  <si>
    <t xml:space="preserve">Less vacancies at 5 percent </t>
  </si>
  <si>
    <t>Non-rental income ($836/unit &amp; no annual increase)</t>
  </si>
  <si>
    <t>Apartment rental income</t>
  </si>
  <si>
    <t>Subtotal</t>
  </si>
  <si>
    <t xml:space="preserve">Subtotal </t>
  </si>
  <si>
    <t xml:space="preserve">Gross operating rental income </t>
  </si>
  <si>
    <t>Salaries &amp; personnel ($2,284/unit)</t>
  </si>
  <si>
    <t xml:space="preserve">Year 1 </t>
  </si>
  <si>
    <t xml:space="preserve">Years 2 -10 </t>
  </si>
  <si>
    <t>Utilities ($2,208 per unit per year)</t>
  </si>
  <si>
    <t>Insurance ($275 per unit per year)</t>
  </si>
  <si>
    <t>Management fees ($250 per unit per year)</t>
  </si>
  <si>
    <t>Administrative ($101 per unit per year)</t>
  </si>
  <si>
    <t xml:space="preserve">Marketing ($85 per unitper year) </t>
  </si>
  <si>
    <t>Contract services ($60 per unit per year)</t>
  </si>
  <si>
    <t>Doggie stations ($7 per unit per year)</t>
  </si>
  <si>
    <t>Permit &amp; license for elevator ($34per unit per year)</t>
  </si>
  <si>
    <t>Elevator service contract ($27 per unit per year)</t>
  </si>
  <si>
    <t>Janitorial &amp; groundskeeping ($67 per unit per year)</t>
  </si>
  <si>
    <t>Repair &amp; maintenance ($87 per unit per year)</t>
  </si>
  <si>
    <t>Capital reserve per HUD</t>
  </si>
  <si>
    <t xml:space="preserve">Gross operating expenses </t>
  </si>
  <si>
    <t>Debt service plus mortgage insurance premium</t>
  </si>
  <si>
    <t>Other</t>
  </si>
  <si>
    <t xml:space="preserve">Required working capital per HUD </t>
  </si>
  <si>
    <t>Contractor bonus</t>
  </si>
  <si>
    <t>Tax return expense</t>
  </si>
  <si>
    <t>Cash flow from reserves</t>
  </si>
  <si>
    <t>Subtotal - Other</t>
  </si>
  <si>
    <t>Fixed rate, 30-years at 3.75%</t>
  </si>
  <si>
    <t xml:space="preserve">Mortgage + insurance premium </t>
  </si>
  <si>
    <t xml:space="preserve">Net operating Income </t>
  </si>
  <si>
    <t xml:space="preserve">Net operating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</si>
</sst>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164" formatCode="&quot;$&quot;#,##0.00"/>
    <numFmt numFmtId="165" formatCode="_(&quot;$&quot;* #,##0_);_(&quot;$&quot;* \(#,##0\);_(&quot;$&quot;* &quot;-&quot;??_);_(@_)"/>
    <numFmt numFmtId="166" formatCode="0.000000"/>
    <numFmt numFmtId="167" formatCode="&quot;$&quot;#,##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Verdana"/>
      <family val="2"/>
    </font>
    <font>
      <sz val="11"/>
      <color rgb="FF000000"/>
      <name val="Calibri"/>
      <family val="2"/>
      <scheme val="minor"/>
    </font>
    <font>
      <sz val="10"/>
      <color theme="1"/>
      <name val="Verdana"/>
      <family val="2"/>
    </font>
    <font>
      <sz val="9"/>
      <color indexed="81"/>
      <name val="Tahoma"/>
      <family val="2"/>
    </font>
    <font>
      <b/>
      <sz val="9"/>
      <color indexed="81"/>
      <name val="Tahoma"/>
      <family val="2"/>
    </font>
    <font>
      <sz val="11"/>
      <name val="Calibri"/>
      <family val="2"/>
      <scheme val="minor"/>
    </font>
    <font>
      <b/>
      <sz val="11"/>
      <name val="Calibri"/>
      <family val="2"/>
      <scheme val="minor"/>
    </font>
    <font>
      <sz val="11"/>
      <color rgb="FFFF0000"/>
      <name val="Calibri"/>
      <family val="2"/>
      <scheme val="minor"/>
    </font>
  </fonts>
  <fills count="2">
    <fill>
      <patternFill patternType="none"/>
    </fill>
    <fill>
      <patternFill patternType="gray125"/>
    </fill>
  </fills>
  <borders count="3">
    <border>
      <left/>
      <right/>
      <top/>
      <bottom/>
      <diagonal/>
    </border>
    <border>
      <left style="medium">
        <color indexed="64"/>
      </left>
      <right/>
      <top/>
      <bottom/>
      <diagonal/>
    </border>
    <border>
      <left/>
      <right style="medium">
        <color auto="1"/>
      </right>
      <top/>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0" fontId="0" fillId="0" borderId="0" xfId="0" applyAlignment="1">
      <alignment horizontal="left" indent="1"/>
    </xf>
    <xf numFmtId="0" fontId="2" fillId="0" borderId="0" xfId="0" applyFont="1"/>
    <xf numFmtId="1" fontId="0" fillId="0" borderId="0" xfId="0" applyNumberFormat="1"/>
    <xf numFmtId="0" fontId="2" fillId="0" borderId="0" xfId="0" applyFont="1" applyAlignment="1">
      <alignment horizontal="center"/>
    </xf>
    <xf numFmtId="164" fontId="0" fillId="0" borderId="0" xfId="0" applyNumberFormat="1"/>
    <xf numFmtId="0" fontId="2" fillId="0" borderId="0" xfId="0" applyFont="1" applyAlignment="1">
      <alignment horizontal="left"/>
    </xf>
    <xf numFmtId="8" fontId="0" fillId="0" borderId="0" xfId="0" applyNumberFormat="1"/>
    <xf numFmtId="6" fontId="0" fillId="0" borderId="0" xfId="0" applyNumberFormat="1" applyAlignment="1">
      <alignment horizontal="right"/>
    </xf>
    <xf numFmtId="164" fontId="2" fillId="0" borderId="0" xfId="0" applyNumberFormat="1" applyFont="1"/>
    <xf numFmtId="0" fontId="0" fillId="0" borderId="0" xfId="0" applyAlignment="1">
      <alignment wrapText="1"/>
    </xf>
    <xf numFmtId="0" fontId="0" fillId="0" borderId="0" xfId="0" applyAlignment="1">
      <alignment horizontal="left" vertical="top" indent="1"/>
    </xf>
    <xf numFmtId="0" fontId="0" fillId="0" borderId="0" xfId="0" applyAlignment="1">
      <alignment horizontal="right" vertical="top" wrapText="1"/>
    </xf>
    <xf numFmtId="0" fontId="0" fillId="0" borderId="0" xfId="0" applyAlignment="1">
      <alignment horizontal="left" indent="2"/>
    </xf>
    <xf numFmtId="8" fontId="0" fillId="0" borderId="0" xfId="0" applyNumberFormat="1" applyAlignment="1">
      <alignment horizontal="right" vertical="top"/>
    </xf>
    <xf numFmtId="44" fontId="0" fillId="0" borderId="0" xfId="0" applyNumberFormat="1"/>
    <xf numFmtId="44" fontId="0" fillId="0" borderId="0" xfId="1" applyNumberFormat="1" applyFont="1" applyAlignment="1">
      <alignment horizontal="right"/>
    </xf>
    <xf numFmtId="44" fontId="2" fillId="0" borderId="0" xfId="0" applyNumberFormat="1" applyFont="1"/>
    <xf numFmtId="44" fontId="0" fillId="0" borderId="0" xfId="0" applyNumberFormat="1" applyFont="1"/>
    <xf numFmtId="0" fontId="0" fillId="0" borderId="0" xfId="0" applyFont="1"/>
    <xf numFmtId="0" fontId="0" fillId="0" borderId="0" xfId="0" applyFont="1" applyAlignment="1">
      <alignment horizontal="left" indent="1"/>
    </xf>
    <xf numFmtId="0" fontId="0" fillId="0" borderId="0" xfId="0" applyNumberFormat="1"/>
    <xf numFmtId="0" fontId="3" fillId="0" borderId="1" xfId="0" applyFont="1" applyBorder="1" applyAlignment="1">
      <alignment horizontal="left" vertical="top" wrapText="1"/>
    </xf>
    <xf numFmtId="0" fontId="0" fillId="0" borderId="1" xfId="0" applyBorder="1"/>
    <xf numFmtId="0" fontId="3" fillId="0" borderId="1" xfId="0" applyFont="1" applyBorder="1"/>
    <xf numFmtId="166" fontId="4" fillId="0" borderId="0" xfId="0" applyNumberFormat="1" applyFont="1"/>
    <xf numFmtId="166" fontId="0" fillId="0" borderId="0" xfId="0" applyNumberFormat="1"/>
    <xf numFmtId="166" fontId="0" fillId="0" borderId="0" xfId="0" applyNumberFormat="1" applyAlignment="1"/>
    <xf numFmtId="0" fontId="5" fillId="0" borderId="1" xfId="0" applyFont="1" applyBorder="1"/>
    <xf numFmtId="0" fontId="2" fillId="0" borderId="0" xfId="0" applyFont="1" applyAlignment="1">
      <alignment horizontal="right"/>
    </xf>
    <xf numFmtId="0" fontId="0" fillId="0" borderId="2" xfId="0" applyBorder="1"/>
    <xf numFmtId="0" fontId="2" fillId="0" borderId="2" xfId="0" applyFont="1" applyBorder="1" applyAlignment="1">
      <alignment horizontal="center"/>
    </xf>
    <xf numFmtId="0" fontId="2" fillId="0" borderId="0" xfId="0" applyFont="1" applyBorder="1" applyAlignment="1">
      <alignment horizontal="center"/>
    </xf>
    <xf numFmtId="0" fontId="0" fillId="0" borderId="0" xfId="0" applyBorder="1"/>
    <xf numFmtId="44" fontId="0" fillId="0" borderId="2" xfId="0" applyNumberFormat="1" applyBorder="1"/>
    <xf numFmtId="44" fontId="0" fillId="0" borderId="0" xfId="0" applyNumberFormat="1" applyBorder="1"/>
    <xf numFmtId="0" fontId="0" fillId="0" borderId="0" xfId="0" applyAlignment="1">
      <alignment vertical="top"/>
    </xf>
    <xf numFmtId="0" fontId="0" fillId="0" borderId="2" xfId="0" applyBorder="1" applyAlignment="1">
      <alignment vertical="top"/>
    </xf>
    <xf numFmtId="44" fontId="0" fillId="0" borderId="1" xfId="0" applyNumberFormat="1" applyBorder="1" applyAlignment="1">
      <alignment vertical="top"/>
    </xf>
    <xf numFmtId="44" fontId="0" fillId="0" borderId="1" xfId="0" applyNumberFormat="1" applyFont="1" applyBorder="1" applyAlignment="1">
      <alignment horizontal="center" vertical="top"/>
    </xf>
    <xf numFmtId="0" fontId="0" fillId="0" borderId="0" xfId="0" applyBorder="1" applyAlignment="1">
      <alignment vertical="top"/>
    </xf>
    <xf numFmtId="44" fontId="0" fillId="0" borderId="0" xfId="0" applyNumberFormat="1" applyFont="1" applyBorder="1" applyAlignment="1">
      <alignment horizontal="center" vertical="top"/>
    </xf>
    <xf numFmtId="44" fontId="0" fillId="0" borderId="0" xfId="0" applyNumberFormat="1" applyFont="1" applyAlignment="1">
      <alignment horizontal="center" vertical="top"/>
    </xf>
    <xf numFmtId="0" fontId="0" fillId="0" borderId="2" xfId="0" applyFont="1" applyBorder="1" applyAlignment="1">
      <alignment vertical="top"/>
    </xf>
    <xf numFmtId="0" fontId="0" fillId="0" borderId="2" xfId="0" applyFont="1" applyBorder="1"/>
    <xf numFmtId="44" fontId="0" fillId="0" borderId="0" xfId="0" applyNumberFormat="1" applyBorder="1" applyAlignment="1">
      <alignment vertical="top"/>
    </xf>
    <xf numFmtId="44" fontId="0" fillId="0" borderId="0" xfId="0" applyNumberFormat="1" applyAlignment="1">
      <alignment vertical="top"/>
    </xf>
    <xf numFmtId="0" fontId="2" fillId="0" borderId="0" xfId="0" applyFont="1" applyBorder="1" applyAlignment="1">
      <alignment horizontal="right"/>
    </xf>
    <xf numFmtId="166" fontId="4" fillId="0" borderId="0" xfId="0" applyNumberFormat="1" applyFont="1" applyBorder="1"/>
    <xf numFmtId="166" fontId="0" fillId="0" borderId="0" xfId="0" applyNumberFormat="1" applyBorder="1"/>
    <xf numFmtId="166" fontId="0" fillId="0" borderId="0" xfId="0" applyNumberFormat="1" applyBorder="1" applyAlignment="1"/>
    <xf numFmtId="165" fontId="0" fillId="0" borderId="0" xfId="0" applyNumberFormat="1" applyBorder="1" applyAlignment="1">
      <alignment vertical="top"/>
    </xf>
    <xf numFmtId="165" fontId="0" fillId="0" borderId="0" xfId="0" applyNumberFormat="1" applyBorder="1" applyAlignment="1">
      <alignment horizontal="right" vertical="top"/>
    </xf>
    <xf numFmtId="0" fontId="0" fillId="0" borderId="0" xfId="0" applyFont="1" applyBorder="1" applyAlignment="1">
      <alignment vertical="top"/>
    </xf>
    <xf numFmtId="44" fontId="4" fillId="0" borderId="0" xfId="0" applyNumberFormat="1" applyFont="1"/>
    <xf numFmtId="44" fontId="0" fillId="0" borderId="0" xfId="0" applyNumberFormat="1" applyAlignment="1"/>
    <xf numFmtId="0" fontId="2" fillId="0" borderId="2" xfId="0" applyFont="1" applyBorder="1" applyAlignment="1">
      <alignment horizontal="center"/>
    </xf>
    <xf numFmtId="0" fontId="2" fillId="0" borderId="0" xfId="0" applyFont="1" applyBorder="1" applyAlignment="1">
      <alignment horizontal="center"/>
    </xf>
    <xf numFmtId="44" fontId="0" fillId="0" borderId="2" xfId="0" applyNumberFormat="1" applyBorder="1" applyAlignment="1">
      <alignment vertical="top"/>
    </xf>
    <xf numFmtId="2" fontId="0" fillId="0" borderId="0" xfId="0" applyNumberFormat="1" applyFont="1"/>
    <xf numFmtId="167" fontId="0" fillId="0" borderId="0" xfId="0" applyNumberFormat="1" applyAlignment="1">
      <alignment horizontal="right"/>
    </xf>
    <xf numFmtId="0" fontId="0" fillId="0" borderId="0" xfId="0" applyAlignment="1">
      <alignment horizontal="left" indent="4"/>
    </xf>
    <xf numFmtId="0" fontId="0" fillId="0" borderId="0" xfId="0" applyAlignment="1">
      <alignment horizontal="left"/>
    </xf>
    <xf numFmtId="2" fontId="0" fillId="0" borderId="0" xfId="0" applyNumberFormat="1"/>
    <xf numFmtId="0" fontId="2" fillId="0" borderId="0" xfId="0" applyFont="1" applyAlignment="1">
      <alignment horizontal="left" indent="1"/>
    </xf>
    <xf numFmtId="44" fontId="8" fillId="0" borderId="0" xfId="0" applyNumberFormat="1" applyFont="1"/>
    <xf numFmtId="0" fontId="8" fillId="0" borderId="0" xfId="0" applyFont="1" applyAlignment="1">
      <alignment horizontal="left" indent="1"/>
    </xf>
    <xf numFmtId="0" fontId="8" fillId="0" borderId="0" xfId="0" applyFont="1"/>
    <xf numFmtId="0" fontId="9" fillId="0" borderId="0" xfId="0" applyFont="1" applyAlignment="1">
      <alignment horizontal="left" indent="1"/>
    </xf>
    <xf numFmtId="0" fontId="9" fillId="0" borderId="0" xfId="0" applyFont="1" applyAlignment="1">
      <alignment horizontal="left"/>
    </xf>
    <xf numFmtId="44" fontId="9" fillId="0" borderId="0" xfId="0" applyNumberFormat="1" applyFont="1"/>
    <xf numFmtId="49" fontId="2" fillId="0" borderId="0" xfId="0" applyNumberFormat="1" applyFont="1" applyAlignment="1">
      <alignment horizontal="right" vertical="top"/>
    </xf>
    <xf numFmtId="2" fontId="2" fillId="0" borderId="0" xfId="0" applyNumberFormat="1" applyFont="1"/>
    <xf numFmtId="44" fontId="10" fillId="0" borderId="0" xfId="0" applyNumberFormat="1" applyFont="1"/>
    <xf numFmtId="0" fontId="2" fillId="0" borderId="0" xfId="0" applyFont="1" applyBorder="1" applyAlignment="1">
      <alignment horizontal="center"/>
    </xf>
    <xf numFmtId="0" fontId="2" fillId="0" borderId="2" xfId="0" applyFont="1" applyBorder="1" applyAlignment="1">
      <alignment horizontal="center"/>
    </xf>
    <xf numFmtId="6"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47624</xdr:colOff>
      <xdr:row>86</xdr:row>
      <xdr:rowOff>123824</xdr:rowOff>
    </xdr:from>
    <xdr:to>
      <xdr:col>9</xdr:col>
      <xdr:colOff>152400</xdr:colOff>
      <xdr:row>142</xdr:row>
      <xdr:rowOff>180975</xdr:rowOff>
    </xdr:to>
    <xdr:sp macro="" textlink="">
      <xdr:nvSpPr>
        <xdr:cNvPr id="3" name="TextBox 2"/>
        <xdr:cNvSpPr txBox="1"/>
      </xdr:nvSpPr>
      <xdr:spPr>
        <a:xfrm>
          <a:off x="47624" y="16697324"/>
          <a:ext cx="7143751" cy="10725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GLOSSARY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Administrative. </a:t>
          </a:r>
          <a:r>
            <a:rPr lang="en-US" sz="1100">
              <a:solidFill>
                <a:schemeClr val="dk1"/>
              </a:solidFill>
              <a:effectLst/>
              <a:latin typeface="+mn-lt"/>
              <a:ea typeface="+mn-ea"/>
              <a:cs typeface="+mn-cs"/>
            </a:rPr>
            <a:t>Total monies spent on general and administrative items such as answering service, donations, mileage reimbursement, bank charges, legal/eviction charges, postage, telephone/fax/internet charges, office supplies, uniforms, credit reports, permits, membership dues, subscriptions, data processing, etc. Does not include any payroll-related expenses.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Capital Expenditures. </a:t>
          </a:r>
          <a:r>
            <a:rPr lang="en-US" sz="1100">
              <a:solidFill>
                <a:schemeClr val="dk1"/>
              </a:solidFill>
              <a:effectLst/>
              <a:latin typeface="+mn-lt"/>
              <a:ea typeface="+mn-ea"/>
              <a:cs typeface="+mn-cs"/>
            </a:rPr>
            <a:t>Capital Expenditures are separated by the categories listed (renovations, replacements and “other”). All “other” CapEx expenses would include the sum of any items not specifically listed above. A zero on the line meant there were no capital expenditures.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Collection Losses (Bad Debt/Collections).</a:t>
          </a:r>
          <a:r>
            <a:rPr lang="en-US" sz="1100">
              <a:solidFill>
                <a:schemeClr val="dk1"/>
              </a:solidFill>
              <a:effectLst/>
              <a:latin typeface="+mn-lt"/>
              <a:ea typeface="+mn-ea"/>
              <a:cs typeface="+mn-cs"/>
            </a:rPr>
            <a:t> Amount of residential rents not received due to bad debt/collection losses.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Contract Services.</a:t>
          </a:r>
          <a:r>
            <a:rPr lang="en-US" sz="1100">
              <a:solidFill>
                <a:schemeClr val="dk1"/>
              </a:solidFill>
              <a:effectLst/>
              <a:latin typeface="+mn-lt"/>
              <a:ea typeface="+mn-ea"/>
              <a:cs typeface="+mn-cs"/>
            </a:rPr>
            <a:t> Contract Services are separated by the categories listed (landscaping, pest control, security and “other”). All “other” contract services expenses would include the sum of any items not specifically listed above (e.g. Snow removal, and other services provided on a contract basis). Trash removal is not included here.</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Gross Rental Income.</a:t>
          </a:r>
          <a:r>
            <a:rPr lang="en-US" sz="1100">
              <a:solidFill>
                <a:schemeClr val="dk1"/>
              </a:solidFill>
              <a:effectLst/>
              <a:latin typeface="+mn-lt"/>
              <a:ea typeface="+mn-ea"/>
              <a:cs typeface="+mn-cs"/>
            </a:rPr>
            <a:t> Total rents of all occupied units at 2019 lease rates.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Insurance. </a:t>
          </a:r>
          <a:r>
            <a:rPr lang="en-US" sz="1100">
              <a:solidFill>
                <a:schemeClr val="dk1"/>
              </a:solidFill>
              <a:effectLst/>
              <a:latin typeface="+mn-lt"/>
              <a:ea typeface="+mn-ea"/>
              <a:cs typeface="+mn-cs"/>
            </a:rPr>
            <a:t>Includes property hazard and liability and real property insurance and does not include health/payroll insurance.</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Losses to Vacancies. </a:t>
          </a:r>
          <a:r>
            <a:rPr lang="en-US" sz="1100">
              <a:solidFill>
                <a:schemeClr val="dk1"/>
              </a:solidFill>
              <a:effectLst/>
              <a:latin typeface="+mn-lt"/>
              <a:ea typeface="+mn-ea"/>
              <a:cs typeface="+mn-cs"/>
            </a:rPr>
            <a:t>Amount of rental income for residential units not collected because of vacancies and other use of units, such as models and offices.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Management Fees. </a:t>
          </a:r>
          <a:r>
            <a:rPr lang="en-US" sz="1100">
              <a:solidFill>
                <a:schemeClr val="dk1"/>
              </a:solidFill>
              <a:effectLst/>
              <a:latin typeface="+mn-lt"/>
              <a:ea typeface="+mn-ea"/>
              <a:cs typeface="+mn-cs"/>
            </a:rPr>
            <a:t>Total fees paid to the management agent/company by the owner.</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Marketing. </a:t>
          </a:r>
          <a:r>
            <a:rPr lang="en-US" sz="1100">
              <a:solidFill>
                <a:schemeClr val="dk1"/>
              </a:solidFill>
              <a:effectLst/>
              <a:latin typeface="+mn-lt"/>
              <a:ea typeface="+mn-ea"/>
              <a:cs typeface="+mn-cs"/>
            </a:rPr>
            <a:t>Marketing expenses are separated by the categories listed (internet, print, resident relations and “other”). All “other” marketing expenses would include the sum of any items not specifically listed above. (e.g. locator fees, signage, model expense, etc.) NOTE: rent concessions are not included.</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Non-Rental income.</a:t>
          </a:r>
          <a:r>
            <a:rPr lang="en-US" sz="1100" b="0" baseline="0">
              <a:solidFill>
                <a:schemeClr val="dk1"/>
              </a:solidFill>
              <a:effectLst/>
              <a:latin typeface="+mn-lt"/>
              <a:ea typeface="+mn-ea"/>
              <a:cs typeface="+mn-cs"/>
            </a:rPr>
            <a:t>  Application fees, administration fees, pet fees, NSF charges, forfeited deposits, Comcast serviuce revenue sharing, amd gigibit revenue sharing.  </a:t>
          </a:r>
          <a:endParaRPr lang="en-US" sz="1100" b="1">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Other Revenue. </a:t>
          </a:r>
          <a:r>
            <a:rPr lang="en-US" sz="1100">
              <a:solidFill>
                <a:schemeClr val="dk1"/>
              </a:solidFill>
              <a:effectLst/>
              <a:latin typeface="+mn-lt"/>
              <a:ea typeface="+mn-ea"/>
              <a:cs typeface="+mn-cs"/>
            </a:rPr>
            <a:t>Monies received are separated by the categories listed (amenity fees, laundry, parking, pet fees, storage and “other”).  All “other” would include the sum of any items not specifically listed above. (e.g. vending, deposit forfeitures, furniture, late fees, termination fees, application fees, etc.) NOTE: interest income or utility reimbursements are not included.</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Rental Concessions. </a:t>
          </a:r>
          <a:r>
            <a:rPr lang="en-US" sz="1100">
              <a:solidFill>
                <a:schemeClr val="dk1"/>
              </a:solidFill>
              <a:effectLst/>
              <a:latin typeface="+mn-lt"/>
              <a:ea typeface="+mn-ea"/>
              <a:cs typeface="+mn-cs"/>
            </a:rPr>
            <a:t>Amount of gross potential residential rents not received due to concessions.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Repair &amp; Maintenance. </a:t>
          </a:r>
          <a:r>
            <a:rPr lang="en-US" sz="1100">
              <a:solidFill>
                <a:schemeClr val="dk1"/>
              </a:solidFill>
              <a:effectLst/>
              <a:latin typeface="+mn-lt"/>
              <a:ea typeface="+mn-ea"/>
              <a:cs typeface="+mn-cs"/>
            </a:rPr>
            <a:t>Total monies spent on general maintenance, maintenance supplies and uniforms, minor painting/carpeting repairs, plumbing supplies and repairs, security gate repairs, keys/locks, minor roof/window repairs, HVAC repairs, cleaning supplies, etc. Does not include any payroll related expenses or non-recurring capital expenses. Contract services are reported separately.</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Salaries &amp; Personnel.</a:t>
          </a:r>
          <a:r>
            <a:rPr lang="en-US" sz="1100">
              <a:solidFill>
                <a:schemeClr val="dk1"/>
              </a:solidFill>
              <a:effectLst/>
              <a:latin typeface="+mn-lt"/>
              <a:ea typeface="+mn-ea"/>
              <a:cs typeface="+mn-cs"/>
            </a:rPr>
            <a:t>  Gross salaries and wages paid to employees assigned to the property in all departments. Includes payroll taxes, group health/life/disability insurance, 401(k), bonuses, leasing commissions, value of employee apartment allowance, workers’ compensation, retirement contributions, overtime and other cash benefits.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Taxes. </a:t>
          </a:r>
          <a:r>
            <a:rPr lang="en-US" sz="1100" b="0">
              <a:solidFill>
                <a:schemeClr val="dk1"/>
              </a:solidFill>
              <a:effectLst/>
              <a:latin typeface="+mn-lt"/>
              <a:ea typeface="+mn-ea"/>
              <a:cs typeface="+mn-cs"/>
            </a:rPr>
            <a:t>Includes</a:t>
          </a:r>
          <a:r>
            <a:rPr lang="en-US" sz="1100" b="0" baseline="0">
              <a:solidFill>
                <a:schemeClr val="dk1"/>
              </a:solidFill>
              <a:effectLst/>
              <a:latin typeface="+mn-lt"/>
              <a:ea typeface="+mn-ea"/>
              <a:cs typeface="+mn-cs"/>
            </a:rPr>
            <a:t> Conservation Furues, Flood Control, Port of tacoma, Fire District - EMS, Pierce County Library, City of Lakewood, Fire District - Expenses, Pierce County, State, Lakewood Water District, Fire District - Bond 2, Fire District - M&amp;O, Cpsd - Bond 400, &amp; CPSD - M&amp;O.  Category does not include Surface Water management, &amp; Weed Control.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Total Operating Expenses. </a:t>
          </a:r>
          <a:r>
            <a:rPr lang="en-US" sz="1100">
              <a:solidFill>
                <a:schemeClr val="dk1"/>
              </a:solidFill>
              <a:effectLst/>
              <a:latin typeface="+mn-lt"/>
              <a:ea typeface="+mn-ea"/>
              <a:cs typeface="+mn-cs"/>
            </a:rPr>
            <a:t>Sum of all operating costs.  Does not include debt service or any one-time extraordinary costs.</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Utilities. </a:t>
          </a:r>
          <a:r>
            <a:rPr lang="en-US" sz="1100">
              <a:solidFill>
                <a:schemeClr val="dk1"/>
              </a:solidFill>
              <a:effectLst/>
              <a:latin typeface="+mn-lt"/>
              <a:ea typeface="+mn-ea"/>
              <a:cs typeface="+mn-cs"/>
            </a:rPr>
            <a:t>Total cost of all standard utilities and each listed type, net of any income reimbursements from residents.  </a:t>
          </a:r>
        </a:p>
        <a:p>
          <a:endParaRPr lang="en-US" sz="1100"/>
        </a:p>
        <a:p>
          <a:r>
            <a:rPr lang="en-US" sz="1100"/>
            <a:t>https://www.naahq.org/news-publications/units/september-2019/article/2019-naa-survey-operating-income-expenses-rental</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tabSelected="1" topLeftCell="A46" workbookViewId="0">
      <selection activeCell="P60" sqref="P60"/>
    </sheetView>
  </sheetViews>
  <sheetFormatPr defaultRowHeight="15" x14ac:dyDescent="0.25"/>
  <cols>
    <col min="6" max="6" width="20.7109375" customWidth="1"/>
    <col min="8" max="8" width="15" bestFit="1" customWidth="1"/>
    <col min="9" max="9" width="15" customWidth="1"/>
    <col min="10" max="12" width="15" bestFit="1" customWidth="1"/>
    <col min="13" max="13" width="15" customWidth="1"/>
    <col min="14" max="17" width="15" bestFit="1" customWidth="1"/>
    <col min="18" max="18" width="15.28515625" bestFit="1" customWidth="1"/>
  </cols>
  <sheetData>
    <row r="1" spans="1:11" x14ac:dyDescent="0.25">
      <c r="A1" s="2" t="s">
        <v>13</v>
      </c>
    </row>
    <row r="2" spans="1:11" x14ac:dyDescent="0.25">
      <c r="A2" t="s">
        <v>18</v>
      </c>
    </row>
    <row r="3" spans="1:11" x14ac:dyDescent="0.25">
      <c r="A3" t="s">
        <v>66</v>
      </c>
    </row>
    <row r="5" spans="1:11" x14ac:dyDescent="0.25">
      <c r="A5" t="s">
        <v>5</v>
      </c>
      <c r="F5">
        <v>208</v>
      </c>
    </row>
    <row r="6" spans="1:11" x14ac:dyDescent="0.25">
      <c r="A6" t="s">
        <v>4</v>
      </c>
      <c r="F6" s="3">
        <v>888</v>
      </c>
    </row>
    <row r="7" spans="1:11" x14ac:dyDescent="0.25">
      <c r="A7" t="s">
        <v>3</v>
      </c>
      <c r="F7" s="8">
        <v>49567832</v>
      </c>
    </row>
    <row r="8" spans="1:11" x14ac:dyDescent="0.25">
      <c r="A8" t="s">
        <v>67</v>
      </c>
      <c r="F8" s="60">
        <v>6033400</v>
      </c>
    </row>
    <row r="9" spans="1:11" x14ac:dyDescent="0.25">
      <c r="A9" t="s">
        <v>68</v>
      </c>
      <c r="F9" s="8">
        <v>226337</v>
      </c>
      <c r="K9" s="76"/>
    </row>
    <row r="10" spans="1:11" x14ac:dyDescent="0.25">
      <c r="A10" t="s">
        <v>2</v>
      </c>
      <c r="F10" s="7">
        <v>1862</v>
      </c>
    </row>
    <row r="11" spans="1:11" x14ac:dyDescent="0.25">
      <c r="A11" t="s">
        <v>22</v>
      </c>
      <c r="F11" s="63">
        <v>0.05</v>
      </c>
    </row>
    <row r="12" spans="1:11" x14ac:dyDescent="0.25">
      <c r="A12" s="1"/>
      <c r="F12" s="21"/>
    </row>
    <row r="13" spans="1:11" x14ac:dyDescent="0.25">
      <c r="A13" s="1"/>
      <c r="F13" s="21"/>
    </row>
    <row r="14" spans="1:11" x14ac:dyDescent="0.25">
      <c r="A14" s="1"/>
      <c r="F14" s="21"/>
    </row>
    <row r="16" spans="1:11" x14ac:dyDescent="0.25">
      <c r="A16" s="2" t="s">
        <v>6</v>
      </c>
    </row>
    <row r="17" spans="1:18" x14ac:dyDescent="0.25">
      <c r="A17" s="1" t="s">
        <v>7</v>
      </c>
      <c r="F17">
        <v>1.02</v>
      </c>
    </row>
    <row r="18" spans="1:18" x14ac:dyDescent="0.25">
      <c r="A18" s="1" t="s">
        <v>21</v>
      </c>
      <c r="F18">
        <v>1.03</v>
      </c>
    </row>
    <row r="19" spans="1:18" x14ac:dyDescent="0.25">
      <c r="A19" s="1" t="s">
        <v>69</v>
      </c>
      <c r="F19">
        <v>1.0725</v>
      </c>
    </row>
    <row r="20" spans="1:18" x14ac:dyDescent="0.25">
      <c r="A20" s="1" t="s">
        <v>70</v>
      </c>
      <c r="F20">
        <v>1.0429999999999999</v>
      </c>
    </row>
    <row r="21" spans="1:18" x14ac:dyDescent="0.25">
      <c r="A21" s="1" t="s">
        <v>8</v>
      </c>
      <c r="F21" s="7">
        <v>39654666</v>
      </c>
    </row>
    <row r="22" spans="1:18" ht="30" x14ac:dyDescent="0.25">
      <c r="A22" s="11" t="s">
        <v>9</v>
      </c>
      <c r="D22" s="10"/>
      <c r="F22" s="12" t="s">
        <v>105</v>
      </c>
    </row>
    <row r="23" spans="1:18" x14ac:dyDescent="0.25">
      <c r="A23" s="1" t="s">
        <v>10</v>
      </c>
      <c r="F23" s="7"/>
    </row>
    <row r="24" spans="1:18" x14ac:dyDescent="0.25">
      <c r="A24" s="1" t="s">
        <v>106</v>
      </c>
      <c r="F24" s="7"/>
    </row>
    <row r="25" spans="1:18" x14ac:dyDescent="0.25">
      <c r="A25" s="1" t="s">
        <v>83</v>
      </c>
      <c r="F25" s="65">
        <v>-1091794</v>
      </c>
    </row>
    <row r="26" spans="1:18" x14ac:dyDescent="0.25">
      <c r="A26" s="1" t="s">
        <v>84</v>
      </c>
      <c r="F26" s="65">
        <v>-1870837</v>
      </c>
    </row>
    <row r="27" spans="1:18" x14ac:dyDescent="0.25">
      <c r="A27" s="1" t="s">
        <v>15</v>
      </c>
      <c r="F27" s="14" t="s">
        <v>16</v>
      </c>
    </row>
    <row r="28" spans="1:18" x14ac:dyDescent="0.25">
      <c r="A28" t="s">
        <v>17</v>
      </c>
      <c r="F28">
        <v>8</v>
      </c>
    </row>
    <row r="29" spans="1:18" x14ac:dyDescent="0.25">
      <c r="H29" s="71">
        <v>2020</v>
      </c>
      <c r="I29" s="71">
        <v>2021</v>
      </c>
      <c r="J29" s="71">
        <v>2022</v>
      </c>
      <c r="K29" s="71">
        <v>2023</v>
      </c>
      <c r="L29" s="71">
        <v>2024</v>
      </c>
      <c r="M29" s="71">
        <v>2025</v>
      </c>
      <c r="N29" s="71">
        <v>2026</v>
      </c>
      <c r="O29" s="71">
        <v>2027</v>
      </c>
      <c r="P29" s="71">
        <v>2028</v>
      </c>
      <c r="Q29" s="71">
        <v>2029</v>
      </c>
    </row>
    <row r="30" spans="1:18" x14ac:dyDescent="0.25">
      <c r="A30" s="2" t="s">
        <v>0</v>
      </c>
      <c r="H30" s="4" t="s">
        <v>65</v>
      </c>
      <c r="I30" s="4" t="s">
        <v>64</v>
      </c>
      <c r="J30" s="4" t="s">
        <v>63</v>
      </c>
      <c r="K30" s="4" t="s">
        <v>62</v>
      </c>
      <c r="L30" s="4" t="s">
        <v>61</v>
      </c>
      <c r="M30" s="4" t="s">
        <v>60</v>
      </c>
      <c r="N30" s="4" t="s">
        <v>59</v>
      </c>
      <c r="O30" s="4" t="s">
        <v>58</v>
      </c>
      <c r="P30" s="4" t="s">
        <v>11</v>
      </c>
      <c r="Q30" s="4" t="s">
        <v>12</v>
      </c>
      <c r="R30" s="4"/>
    </row>
    <row r="31" spans="1:18" x14ac:dyDescent="0.25">
      <c r="A31" s="1" t="s">
        <v>78</v>
      </c>
      <c r="H31" s="15">
        <f>(F5*F10)*12</f>
        <v>4647552</v>
      </c>
      <c r="I31" s="15">
        <f>H31*1.02</f>
        <v>4740503.04</v>
      </c>
      <c r="J31" s="15">
        <f>I31*F17</f>
        <v>4835313.1008000001</v>
      </c>
      <c r="K31" s="15">
        <f>J31*F17</f>
        <v>4932019.3628160004</v>
      </c>
      <c r="L31" s="15">
        <f>K31*F17</f>
        <v>5030659.75007232</v>
      </c>
      <c r="M31" s="15">
        <f>L31*F17</f>
        <v>5131272.9450737666</v>
      </c>
      <c r="N31" s="15">
        <f>M31*F17</f>
        <v>5233898.4039752418</v>
      </c>
      <c r="O31" s="15">
        <f>N31*F17</f>
        <v>5338576.3720547464</v>
      </c>
      <c r="P31" s="15">
        <f>O31*F17</f>
        <v>5445347.899495841</v>
      </c>
      <c r="Q31" s="15">
        <f>P31*F17</f>
        <v>5554254.8574857581</v>
      </c>
    </row>
    <row r="32" spans="1:18" x14ac:dyDescent="0.25">
      <c r="A32" s="13" t="s">
        <v>71</v>
      </c>
      <c r="H32" s="15"/>
      <c r="I32" s="15"/>
      <c r="J32" s="15"/>
      <c r="K32" s="15"/>
      <c r="L32" s="15"/>
      <c r="M32" s="15"/>
      <c r="N32" s="15"/>
      <c r="O32" s="15"/>
      <c r="P32" s="15"/>
      <c r="Q32" s="15"/>
    </row>
    <row r="33" spans="1:18" x14ac:dyDescent="0.25">
      <c r="A33" s="61" t="s">
        <v>72</v>
      </c>
      <c r="H33" s="15">
        <v>101290</v>
      </c>
      <c r="I33" s="15">
        <f>H33*F17</f>
        <v>103315.8</v>
      </c>
      <c r="J33" s="15">
        <f>I33*F17</f>
        <v>105382.11600000001</v>
      </c>
      <c r="K33" s="15">
        <f>J33*F17</f>
        <v>107489.75832000001</v>
      </c>
      <c r="L33" s="15">
        <f>K33*F17</f>
        <v>109639.55348640001</v>
      </c>
      <c r="M33" s="15">
        <f>L33*F17</f>
        <v>111832.34455612801</v>
      </c>
      <c r="N33" s="15">
        <f>M33*F17</f>
        <v>114068.99144725058</v>
      </c>
      <c r="O33" s="15">
        <f>N33*F17</f>
        <v>116350.3712761956</v>
      </c>
      <c r="P33" s="15">
        <f>O33*F17</f>
        <v>118677.37870171951</v>
      </c>
      <c r="Q33" s="15">
        <f>P33*F17</f>
        <v>121050.92627575391</v>
      </c>
    </row>
    <row r="34" spans="1:18" x14ac:dyDescent="0.25">
      <c r="A34" s="61" t="s">
        <v>73</v>
      </c>
      <c r="H34" s="15">
        <v>71070</v>
      </c>
      <c r="I34" s="15">
        <f>H34*F17</f>
        <v>72491.399999999994</v>
      </c>
      <c r="J34" s="15">
        <f>I34*F17</f>
        <v>73941.227999999988</v>
      </c>
      <c r="K34" s="15">
        <f>J34*F17</f>
        <v>75420.052559999996</v>
      </c>
      <c r="L34" s="15">
        <f>K34*F17</f>
        <v>76928.453611199991</v>
      </c>
      <c r="M34" s="15">
        <f>L34*F17</f>
        <v>78467.022683423987</v>
      </c>
      <c r="N34" s="15">
        <f>M34*F17</f>
        <v>80036.36313709247</v>
      </c>
      <c r="O34" s="15">
        <f>N34*F17</f>
        <v>81637.090399834327</v>
      </c>
      <c r="P34" s="15">
        <f>O34*F17</f>
        <v>83269.832207831016</v>
      </c>
      <c r="Q34" s="15">
        <f>P34*F17</f>
        <v>84935.228851987631</v>
      </c>
    </row>
    <row r="35" spans="1:18" x14ac:dyDescent="0.25">
      <c r="A35" s="61" t="s">
        <v>74</v>
      </c>
      <c r="H35" s="15">
        <v>25029</v>
      </c>
      <c r="I35" s="15">
        <f>H35*F17</f>
        <v>25529.58</v>
      </c>
      <c r="J35" s="15">
        <f>I35*F17</f>
        <v>26040.171600000001</v>
      </c>
      <c r="K35" s="15">
        <f>J35*F17</f>
        <v>26560.975032000002</v>
      </c>
      <c r="L35" s="15">
        <f>K35*F17</f>
        <v>27092.194532640002</v>
      </c>
      <c r="M35" s="15">
        <f>L35*F17</f>
        <v>27634.038423292801</v>
      </c>
      <c r="N35" s="15">
        <f>M35*F17</f>
        <v>28186.719191758657</v>
      </c>
      <c r="O35" s="15">
        <f>N35*F17</f>
        <v>28750.45357559383</v>
      </c>
      <c r="P35" s="15">
        <f>O35*F17</f>
        <v>29325.462647105709</v>
      </c>
      <c r="Q35" s="15">
        <f>P35*F17</f>
        <v>29911.971900047825</v>
      </c>
    </row>
    <row r="36" spans="1:18" x14ac:dyDescent="0.25">
      <c r="A36" s="61" t="s">
        <v>75</v>
      </c>
      <c r="H36" s="15">
        <v>16068</v>
      </c>
      <c r="I36" s="15">
        <f>H36*F17</f>
        <v>16389.36</v>
      </c>
      <c r="J36" s="15">
        <f>I36*F17</f>
        <v>16717.147199999999</v>
      </c>
      <c r="K36" s="15">
        <f>J36*F17</f>
        <v>17051.490143999999</v>
      </c>
      <c r="L36" s="15">
        <f>K36*F17</f>
        <v>17392.519946879998</v>
      </c>
      <c r="M36" s="15">
        <f>L36*F17</f>
        <v>17740.370345817599</v>
      </c>
      <c r="N36" s="15">
        <f>M36*F17</f>
        <v>18095.177752733951</v>
      </c>
      <c r="O36" s="15">
        <f>N36*F17</f>
        <v>18457.081307788631</v>
      </c>
      <c r="P36" s="15">
        <f>O36*F17</f>
        <v>18826.222933944402</v>
      </c>
      <c r="Q36" s="15">
        <f>P36*F17</f>
        <v>19202.747392623289</v>
      </c>
    </row>
    <row r="37" spans="1:18" x14ac:dyDescent="0.25">
      <c r="A37" s="61" t="s">
        <v>77</v>
      </c>
      <c r="H37" s="15">
        <v>173888</v>
      </c>
      <c r="I37" s="15">
        <v>173888</v>
      </c>
      <c r="J37" s="15">
        <v>173888</v>
      </c>
      <c r="K37" s="15">
        <v>173888</v>
      </c>
      <c r="L37" s="15">
        <v>173888</v>
      </c>
      <c r="M37" s="15">
        <v>173888</v>
      </c>
      <c r="N37" s="15">
        <v>173888</v>
      </c>
      <c r="O37" s="15">
        <v>173888</v>
      </c>
      <c r="P37" s="15">
        <v>173888</v>
      </c>
      <c r="Q37" s="15">
        <v>173888</v>
      </c>
    </row>
    <row r="38" spans="1:18" s="2" customFormat="1" x14ac:dyDescent="0.25">
      <c r="A38" s="64" t="s">
        <v>80</v>
      </c>
      <c r="H38" s="17">
        <f t="shared" ref="H38:Q38" si="0">SUM(H31:H37)</f>
        <v>5034897</v>
      </c>
      <c r="I38" s="17">
        <f t="shared" si="0"/>
        <v>5132117.1800000006</v>
      </c>
      <c r="J38" s="17">
        <f t="shared" si="0"/>
        <v>5231281.7636000002</v>
      </c>
      <c r="K38" s="17">
        <f t="shared" si="0"/>
        <v>5332429.6388720004</v>
      </c>
      <c r="L38" s="17">
        <f t="shared" si="0"/>
        <v>5435600.47164944</v>
      </c>
      <c r="M38" s="17">
        <f t="shared" si="0"/>
        <v>5540834.7210824285</v>
      </c>
      <c r="N38" s="17">
        <f t="shared" si="0"/>
        <v>5648173.6555040777</v>
      </c>
      <c r="O38" s="17">
        <f t="shared" si="0"/>
        <v>5757659.3686141577</v>
      </c>
      <c r="P38" s="17">
        <f t="shared" si="0"/>
        <v>5869334.795986441</v>
      </c>
      <c r="Q38" s="17">
        <f t="shared" si="0"/>
        <v>5983243.7319061719</v>
      </c>
    </row>
    <row r="39" spans="1:18" x14ac:dyDescent="0.25">
      <c r="A39" s="62"/>
      <c r="H39" s="15"/>
      <c r="I39" s="15"/>
      <c r="J39" s="15"/>
      <c r="K39" s="15"/>
      <c r="L39" s="15"/>
      <c r="M39" s="15"/>
      <c r="N39" s="15"/>
      <c r="O39" s="15"/>
      <c r="P39" s="15"/>
      <c r="Q39" s="15"/>
    </row>
    <row r="40" spans="1:18" x14ac:dyDescent="0.25">
      <c r="A40" s="62" t="s">
        <v>76</v>
      </c>
      <c r="H40" s="15">
        <f>H38*-0.05</f>
        <v>-251744.85</v>
      </c>
      <c r="I40" s="15">
        <f>I38*-0.05</f>
        <v>-256605.85900000005</v>
      </c>
      <c r="J40" s="15">
        <f>J38*-0.06</f>
        <v>-313876.90581600001</v>
      </c>
      <c r="K40" s="15">
        <f t="shared" ref="K40:Q40" si="1">K38*-0.05</f>
        <v>-266621.48194360005</v>
      </c>
      <c r="L40" s="15">
        <f t="shared" si="1"/>
        <v>-271780.023582472</v>
      </c>
      <c r="M40" s="15">
        <f t="shared" si="1"/>
        <v>-277041.73605412146</v>
      </c>
      <c r="N40" s="15">
        <f t="shared" si="1"/>
        <v>-282408.6827752039</v>
      </c>
      <c r="O40" s="15">
        <f t="shared" si="1"/>
        <v>-287882.96843070787</v>
      </c>
      <c r="P40" s="15">
        <f t="shared" si="1"/>
        <v>-293466.73979932204</v>
      </c>
      <c r="Q40" s="15">
        <f t="shared" si="1"/>
        <v>-299162.18659530859</v>
      </c>
    </row>
    <row r="41" spans="1:18" x14ac:dyDescent="0.25">
      <c r="A41" s="62" t="s">
        <v>19</v>
      </c>
      <c r="H41" s="15">
        <f>-103*F5</f>
        <v>-21424</v>
      </c>
      <c r="I41" s="15">
        <v>-22557</v>
      </c>
      <c r="J41" s="15">
        <v>-22557</v>
      </c>
      <c r="K41" s="15">
        <v>-22557</v>
      </c>
      <c r="L41" s="15">
        <v>-22557</v>
      </c>
      <c r="M41" s="15">
        <v>-22557</v>
      </c>
      <c r="N41" s="15">
        <v>-22557</v>
      </c>
      <c r="O41" s="15">
        <v>-22557</v>
      </c>
      <c r="P41" s="15">
        <v>-22557</v>
      </c>
      <c r="Q41" s="15">
        <v>-22557</v>
      </c>
    </row>
    <row r="42" spans="1:18" x14ac:dyDescent="0.25">
      <c r="A42" s="62" t="s">
        <v>20</v>
      </c>
      <c r="H42" s="15">
        <f>-101*F5</f>
        <v>-21008</v>
      </c>
      <c r="I42" s="15">
        <v>-22119</v>
      </c>
      <c r="J42" s="15">
        <v>-22119</v>
      </c>
      <c r="K42" s="15">
        <v>-22119</v>
      </c>
      <c r="L42" s="15">
        <v>-22119</v>
      </c>
      <c r="M42" s="15">
        <v>-22119</v>
      </c>
      <c r="N42" s="15">
        <v>-22119</v>
      </c>
      <c r="O42" s="15">
        <v>-22119</v>
      </c>
      <c r="P42" s="15">
        <v>-22119</v>
      </c>
      <c r="Q42" s="15">
        <v>-22119</v>
      </c>
    </row>
    <row r="43" spans="1:18" x14ac:dyDescent="0.25">
      <c r="A43" s="64" t="s">
        <v>79</v>
      </c>
      <c r="H43" s="17">
        <f>SUM(H40:H42)</f>
        <v>-294176.84999999998</v>
      </c>
      <c r="I43" s="17">
        <f>SUM(I40:I42)</f>
        <v>-301281.85900000005</v>
      </c>
      <c r="J43" s="17">
        <f>SUM(J40:J42)</f>
        <v>-358552.90581600001</v>
      </c>
      <c r="K43" s="17">
        <f>SUM(K40:K42)</f>
        <v>-311297.48194360005</v>
      </c>
      <c r="L43" s="17">
        <f t="shared" ref="L43:Q43" si="2">SUM(L40:L42)</f>
        <v>-316456.023582472</v>
      </c>
      <c r="M43" s="17">
        <f t="shared" si="2"/>
        <v>-321717.73605412146</v>
      </c>
      <c r="N43" s="17">
        <f t="shared" si="2"/>
        <v>-327084.6827752039</v>
      </c>
      <c r="O43" s="17">
        <f t="shared" si="2"/>
        <v>-332558.96843070787</v>
      </c>
      <c r="P43" s="17">
        <f t="shared" si="2"/>
        <v>-338142.73979932204</v>
      </c>
      <c r="Q43" s="17">
        <f t="shared" si="2"/>
        <v>-343838.18659530859</v>
      </c>
    </row>
    <row r="44" spans="1:18" x14ac:dyDescent="0.25">
      <c r="A44" s="6"/>
      <c r="H44" s="17"/>
      <c r="I44" s="17"/>
      <c r="J44" s="17"/>
      <c r="K44" s="17"/>
      <c r="L44" s="17"/>
      <c r="M44" s="17"/>
      <c r="N44" s="17"/>
      <c r="O44" s="17"/>
      <c r="P44" s="17"/>
      <c r="Q44" s="17"/>
      <c r="R44" s="17"/>
    </row>
    <row r="45" spans="1:18" x14ac:dyDescent="0.25">
      <c r="A45" s="6" t="s">
        <v>81</v>
      </c>
      <c r="H45" s="17">
        <f>H38+H43</f>
        <v>4740720.1500000004</v>
      </c>
      <c r="I45" s="17">
        <f>I38+I43</f>
        <v>4830835.3210000005</v>
      </c>
      <c r="J45" s="17">
        <f t="shared" ref="J45:Q45" si="3">J38+J43</f>
        <v>4872728.8577840002</v>
      </c>
      <c r="K45" s="17">
        <f t="shared" si="3"/>
        <v>5021132.1569284005</v>
      </c>
      <c r="L45" s="17">
        <f t="shared" si="3"/>
        <v>5119144.4480669685</v>
      </c>
      <c r="M45" s="17">
        <f t="shared" si="3"/>
        <v>5219116.985028307</v>
      </c>
      <c r="N45" s="17">
        <f t="shared" si="3"/>
        <v>5321088.9727288736</v>
      </c>
      <c r="O45" s="17">
        <f t="shared" si="3"/>
        <v>5425100.4001834495</v>
      </c>
      <c r="P45" s="17">
        <f t="shared" si="3"/>
        <v>5531192.0561871193</v>
      </c>
      <c r="Q45" s="17">
        <f t="shared" si="3"/>
        <v>5639405.5453108633</v>
      </c>
    </row>
    <row r="46" spans="1:18" x14ac:dyDescent="0.25">
      <c r="A46" s="6"/>
      <c r="H46" s="17"/>
      <c r="I46" s="17"/>
      <c r="J46" s="17"/>
      <c r="K46" s="17"/>
      <c r="L46" s="17"/>
      <c r="M46" s="17"/>
      <c r="N46" s="17"/>
      <c r="O46" s="17"/>
      <c r="P46" s="17"/>
      <c r="Q46" s="17"/>
    </row>
    <row r="47" spans="1:18" x14ac:dyDescent="0.25">
      <c r="A47" s="2" t="s">
        <v>1</v>
      </c>
      <c r="H47" s="5"/>
    </row>
    <row r="48" spans="1:18" x14ac:dyDescent="0.25">
      <c r="A48" s="66" t="s">
        <v>82</v>
      </c>
      <c r="B48" s="67"/>
      <c r="C48" s="67"/>
      <c r="D48" s="67"/>
      <c r="H48" s="15">
        <f>-2284*F5</f>
        <v>-475072</v>
      </c>
      <c r="I48" s="15">
        <f>-475072*1.03</f>
        <v>-489324.16000000003</v>
      </c>
      <c r="J48" s="15">
        <f>I48*1.03</f>
        <v>-504003.88480000006</v>
      </c>
      <c r="K48" s="15">
        <f>J48*1.03</f>
        <v>-519124.00134400005</v>
      </c>
      <c r="L48" s="15">
        <f t="shared" ref="L48:Q48" si="4">K48*1.03</f>
        <v>-534697.72138432006</v>
      </c>
      <c r="M48" s="15">
        <f t="shared" si="4"/>
        <v>-550738.65302584972</v>
      </c>
      <c r="N48" s="15">
        <f t="shared" si="4"/>
        <v>-567260.81261662522</v>
      </c>
      <c r="O48" s="15">
        <f t="shared" si="4"/>
        <v>-584278.63699512393</v>
      </c>
      <c r="P48" s="15">
        <f t="shared" si="4"/>
        <v>-601806.99610497768</v>
      </c>
      <c r="Q48" s="15">
        <f t="shared" si="4"/>
        <v>-619861.20598812704</v>
      </c>
    </row>
    <row r="49" spans="1:18" x14ac:dyDescent="0.25">
      <c r="A49" s="66" t="s">
        <v>86</v>
      </c>
      <c r="B49" s="67"/>
      <c r="C49" s="67"/>
      <c r="D49" s="67"/>
      <c r="H49" s="15">
        <f>-275*F5</f>
        <v>-57200</v>
      </c>
      <c r="I49" s="15">
        <f>H49*1.03</f>
        <v>-58916</v>
      </c>
      <c r="J49" s="15">
        <f t="shared" ref="J49:Q49" si="5">I49*1.03</f>
        <v>-60683.48</v>
      </c>
      <c r="K49" s="15">
        <f t="shared" si="5"/>
        <v>-62503.984400000008</v>
      </c>
      <c r="L49" s="15">
        <f t="shared" si="5"/>
        <v>-64379.103932000013</v>
      </c>
      <c r="M49" s="15">
        <f t="shared" si="5"/>
        <v>-66310.477049960013</v>
      </c>
      <c r="N49" s="15">
        <f t="shared" si="5"/>
        <v>-68299.791361458818</v>
      </c>
      <c r="O49" s="15">
        <f t="shared" si="5"/>
        <v>-70348.785102302587</v>
      </c>
      <c r="P49" s="15">
        <f t="shared" si="5"/>
        <v>-72459.248655371674</v>
      </c>
      <c r="Q49" s="15">
        <f t="shared" si="5"/>
        <v>-74633.02611503283</v>
      </c>
    </row>
    <row r="50" spans="1:18" x14ac:dyDescent="0.25">
      <c r="A50" s="66" t="s">
        <v>85</v>
      </c>
      <c r="B50" s="67"/>
      <c r="C50" s="67"/>
      <c r="D50" s="67"/>
      <c r="H50" s="15">
        <f>-2208*F5</f>
        <v>-459264</v>
      </c>
      <c r="I50" s="15">
        <v>459264</v>
      </c>
      <c r="J50" s="15">
        <v>459264</v>
      </c>
      <c r="K50" s="15">
        <v>459264</v>
      </c>
      <c r="L50" s="15">
        <v>459264</v>
      </c>
      <c r="M50" s="15">
        <v>459264</v>
      </c>
      <c r="N50" s="15">
        <v>459264</v>
      </c>
      <c r="O50" s="15">
        <v>459264</v>
      </c>
      <c r="P50" s="15">
        <v>459264</v>
      </c>
      <c r="Q50" s="15">
        <v>459264</v>
      </c>
    </row>
    <row r="51" spans="1:18" x14ac:dyDescent="0.25">
      <c r="A51" s="66" t="s">
        <v>87</v>
      </c>
      <c r="B51" s="67"/>
      <c r="C51" s="67"/>
      <c r="D51" s="67"/>
      <c r="H51" s="16">
        <f>-250*F5</f>
        <v>-52000</v>
      </c>
      <c r="I51" s="15">
        <f t="shared" ref="I51:I58" si="6">H51*1.03</f>
        <v>-53560</v>
      </c>
      <c r="J51" s="15">
        <f t="shared" ref="J51:Q51" si="7">I51*1.03</f>
        <v>-55166.8</v>
      </c>
      <c r="K51" s="15">
        <f t="shared" si="7"/>
        <v>-56821.804000000004</v>
      </c>
      <c r="L51" s="15">
        <f t="shared" si="7"/>
        <v>-58526.458120000003</v>
      </c>
      <c r="M51" s="15">
        <f t="shared" si="7"/>
        <v>-60282.251863600002</v>
      </c>
      <c r="N51" s="15">
        <f t="shared" si="7"/>
        <v>-62090.719419508001</v>
      </c>
      <c r="O51" s="15">
        <f t="shared" si="7"/>
        <v>-63953.441002093241</v>
      </c>
      <c r="P51" s="15">
        <f t="shared" si="7"/>
        <v>-65872.04423215604</v>
      </c>
      <c r="Q51" s="15">
        <f t="shared" si="7"/>
        <v>-67848.205559120717</v>
      </c>
    </row>
    <row r="52" spans="1:18" x14ac:dyDescent="0.25">
      <c r="A52" s="66" t="s">
        <v>88</v>
      </c>
      <c r="B52" s="67"/>
      <c r="C52" s="67"/>
      <c r="D52" s="67"/>
      <c r="H52" s="15">
        <f>-293*F5</f>
        <v>-60944</v>
      </c>
      <c r="I52" s="15">
        <f t="shared" si="6"/>
        <v>-62772.32</v>
      </c>
      <c r="J52" s="15">
        <f t="shared" ref="J52:Q52" si="8">I52*1.03</f>
        <v>-64655.489600000001</v>
      </c>
      <c r="K52" s="15">
        <f t="shared" si="8"/>
        <v>-66595.154288000005</v>
      </c>
      <c r="L52" s="15">
        <f t="shared" si="8"/>
        <v>-68593.008916640014</v>
      </c>
      <c r="M52" s="15">
        <f t="shared" si="8"/>
        <v>-70650.799184139221</v>
      </c>
      <c r="N52" s="15">
        <f t="shared" si="8"/>
        <v>-72770.3231596634</v>
      </c>
      <c r="O52" s="15">
        <f t="shared" si="8"/>
        <v>-74953.432854453305</v>
      </c>
      <c r="P52" s="15">
        <f t="shared" si="8"/>
        <v>-77202.035840086901</v>
      </c>
      <c r="Q52" s="15">
        <f t="shared" si="8"/>
        <v>-79518.096915289512</v>
      </c>
    </row>
    <row r="53" spans="1:18" x14ac:dyDescent="0.25">
      <c r="A53" s="66" t="s">
        <v>89</v>
      </c>
      <c r="B53" s="67"/>
      <c r="C53" s="67"/>
      <c r="D53" s="67"/>
      <c r="H53" s="15">
        <f>-85*F5</f>
        <v>-17680</v>
      </c>
      <c r="I53" s="15">
        <f t="shared" si="6"/>
        <v>-18210.400000000001</v>
      </c>
      <c r="J53" s="15">
        <f t="shared" ref="J53:Q53" si="9">I53*1.03</f>
        <v>-18756.712000000003</v>
      </c>
      <c r="K53" s="15">
        <f t="shared" si="9"/>
        <v>-19319.413360000002</v>
      </c>
      <c r="L53" s="15">
        <f t="shared" si="9"/>
        <v>-19898.995760800004</v>
      </c>
      <c r="M53" s="15">
        <f t="shared" si="9"/>
        <v>-20495.965633624004</v>
      </c>
      <c r="N53" s="15">
        <f t="shared" si="9"/>
        <v>-21110.844602632726</v>
      </c>
      <c r="O53" s="15">
        <f t="shared" si="9"/>
        <v>-21744.169940711708</v>
      </c>
      <c r="P53" s="15">
        <f t="shared" si="9"/>
        <v>-22396.495038933059</v>
      </c>
      <c r="Q53" s="15">
        <f t="shared" si="9"/>
        <v>-23068.389890101051</v>
      </c>
    </row>
    <row r="54" spans="1:18" x14ac:dyDescent="0.25">
      <c r="A54" s="66" t="s">
        <v>90</v>
      </c>
      <c r="B54" s="67"/>
      <c r="C54" s="67"/>
      <c r="D54" s="67"/>
      <c r="H54" s="15">
        <f>-60*F5</f>
        <v>-12480</v>
      </c>
      <c r="I54" s="15">
        <f t="shared" si="6"/>
        <v>-12854.4</v>
      </c>
      <c r="J54" s="15">
        <f t="shared" ref="J54:Q54" si="10">I54*1.03</f>
        <v>-13240.031999999999</v>
      </c>
      <c r="K54" s="15">
        <f t="shared" si="10"/>
        <v>-13637.232959999999</v>
      </c>
      <c r="L54" s="15">
        <f t="shared" si="10"/>
        <v>-14046.3499488</v>
      </c>
      <c r="M54" s="15">
        <f t="shared" si="10"/>
        <v>-14467.740447264001</v>
      </c>
      <c r="N54" s="15">
        <f t="shared" si="10"/>
        <v>-14901.772660681921</v>
      </c>
      <c r="O54" s="15">
        <f t="shared" si="10"/>
        <v>-15348.825840502379</v>
      </c>
      <c r="P54" s="15">
        <f t="shared" si="10"/>
        <v>-15809.290615717451</v>
      </c>
      <c r="Q54" s="15">
        <f t="shared" si="10"/>
        <v>-16283.569334188975</v>
      </c>
    </row>
    <row r="55" spans="1:18" x14ac:dyDescent="0.25">
      <c r="A55" s="66" t="s">
        <v>95</v>
      </c>
      <c r="B55" s="67"/>
      <c r="C55" s="67"/>
      <c r="D55" s="67"/>
      <c r="H55" s="15">
        <f>-87*F5</f>
        <v>-18096</v>
      </c>
      <c r="I55" s="15">
        <f t="shared" si="6"/>
        <v>-18638.88</v>
      </c>
      <c r="J55" s="15">
        <f t="shared" ref="J55:Q55" si="11">I55*1.03</f>
        <v>-19198.046400000003</v>
      </c>
      <c r="K55" s="15">
        <f t="shared" si="11"/>
        <v>-19773.987792000004</v>
      </c>
      <c r="L55" s="15">
        <f t="shared" si="11"/>
        <v>-20367.207425760003</v>
      </c>
      <c r="M55" s="15">
        <f t="shared" si="11"/>
        <v>-20978.223648532803</v>
      </c>
      <c r="N55" s="15">
        <f t="shared" si="11"/>
        <v>-21607.570357988789</v>
      </c>
      <c r="O55" s="15">
        <f t="shared" si="11"/>
        <v>-22255.797468728451</v>
      </c>
      <c r="P55" s="15">
        <f t="shared" si="11"/>
        <v>-22923.471392790307</v>
      </c>
      <c r="Q55" s="15">
        <f t="shared" si="11"/>
        <v>-23611.175534574017</v>
      </c>
    </row>
    <row r="56" spans="1:18" x14ac:dyDescent="0.25">
      <c r="A56" s="66" t="s">
        <v>94</v>
      </c>
      <c r="B56" s="67"/>
      <c r="C56" s="67"/>
      <c r="D56" s="67"/>
      <c r="H56" s="15">
        <f>-67*F5</f>
        <v>-13936</v>
      </c>
      <c r="I56" s="15">
        <f t="shared" si="6"/>
        <v>-14354.08</v>
      </c>
      <c r="J56" s="15">
        <f t="shared" ref="J56:Q56" si="12">I56*1.03</f>
        <v>-14784.7024</v>
      </c>
      <c r="K56" s="15">
        <f t="shared" si="12"/>
        <v>-15228.243472</v>
      </c>
      <c r="L56" s="15">
        <f t="shared" si="12"/>
        <v>-15685.090776160001</v>
      </c>
      <c r="M56" s="15">
        <f t="shared" si="12"/>
        <v>-16155.643499444801</v>
      </c>
      <c r="N56" s="15">
        <f t="shared" si="12"/>
        <v>-16640.312804428144</v>
      </c>
      <c r="O56" s="15">
        <f t="shared" si="12"/>
        <v>-17139.52218856099</v>
      </c>
      <c r="P56" s="15">
        <f t="shared" si="12"/>
        <v>-17653.707854217821</v>
      </c>
      <c r="Q56" s="15">
        <f t="shared" si="12"/>
        <v>-18183.319089844357</v>
      </c>
    </row>
    <row r="57" spans="1:18" x14ac:dyDescent="0.25">
      <c r="A57" s="66" t="s">
        <v>93</v>
      </c>
      <c r="B57" s="67"/>
      <c r="C57" s="67"/>
      <c r="D57" s="67"/>
      <c r="H57" s="15">
        <f>-27*F5</f>
        <v>-5616</v>
      </c>
      <c r="I57" s="15">
        <f t="shared" si="6"/>
        <v>-5784.4800000000005</v>
      </c>
      <c r="J57" s="15">
        <f t="shared" ref="J57:Q57" si="13">I57*1.03</f>
        <v>-5958.0144000000009</v>
      </c>
      <c r="K57" s="15">
        <f t="shared" si="13"/>
        <v>-6136.7548320000014</v>
      </c>
      <c r="L57" s="15">
        <f t="shared" si="13"/>
        <v>-6320.8574769600018</v>
      </c>
      <c r="M57" s="15">
        <f t="shared" si="13"/>
        <v>-6510.4832012688021</v>
      </c>
      <c r="N57" s="15">
        <f t="shared" si="13"/>
        <v>-6705.7976973068662</v>
      </c>
      <c r="O57" s="15">
        <f t="shared" si="13"/>
        <v>-6906.9716282260724</v>
      </c>
      <c r="P57" s="15">
        <f t="shared" si="13"/>
        <v>-7114.1807770728547</v>
      </c>
      <c r="Q57" s="15">
        <f t="shared" si="13"/>
        <v>-7327.6062003850402</v>
      </c>
    </row>
    <row r="58" spans="1:18" x14ac:dyDescent="0.25">
      <c r="A58" s="66" t="s">
        <v>92</v>
      </c>
      <c r="B58" s="67"/>
      <c r="C58" s="67"/>
      <c r="D58" s="67"/>
      <c r="H58" s="15">
        <f>-34*F5</f>
        <v>-7072</v>
      </c>
      <c r="I58" s="15">
        <f t="shared" si="6"/>
        <v>-7284.16</v>
      </c>
      <c r="J58" s="15">
        <f t="shared" ref="J58:Q58" si="14">I58*1.03</f>
        <v>-7502.6848</v>
      </c>
      <c r="K58" s="15">
        <f t="shared" si="14"/>
        <v>-7727.7653440000004</v>
      </c>
      <c r="L58" s="15">
        <f t="shared" si="14"/>
        <v>-7959.5983043200004</v>
      </c>
      <c r="M58" s="15">
        <f t="shared" si="14"/>
        <v>-8198.3862534496002</v>
      </c>
      <c r="N58" s="15">
        <f t="shared" si="14"/>
        <v>-8444.3378410530877</v>
      </c>
      <c r="O58" s="15">
        <f t="shared" si="14"/>
        <v>-8697.6679762846798</v>
      </c>
      <c r="P58" s="15">
        <f t="shared" si="14"/>
        <v>-8958.5980155732195</v>
      </c>
      <c r="Q58" s="15">
        <f t="shared" si="14"/>
        <v>-9227.3559560404155</v>
      </c>
    </row>
    <row r="59" spans="1:18" x14ac:dyDescent="0.25">
      <c r="A59" s="66" t="s">
        <v>91</v>
      </c>
      <c r="B59" s="67"/>
      <c r="C59" s="67"/>
      <c r="D59" s="67"/>
      <c r="H59" s="15">
        <f>-7*F5</f>
        <v>-1456</v>
      </c>
      <c r="I59" s="15">
        <v>-1456</v>
      </c>
      <c r="J59" s="15">
        <v>-1456</v>
      </c>
      <c r="K59" s="15">
        <v>-1456</v>
      </c>
      <c r="L59" s="15">
        <v>-1456</v>
      </c>
      <c r="M59" s="15">
        <v>-1456</v>
      </c>
      <c r="N59" s="15">
        <v>-1456</v>
      </c>
      <c r="O59" s="15">
        <v>-1456</v>
      </c>
      <c r="P59" s="15">
        <v>-1456</v>
      </c>
      <c r="Q59" s="15">
        <v>-1456</v>
      </c>
    </row>
    <row r="60" spans="1:18" x14ac:dyDescent="0.25">
      <c r="A60" s="66" t="s">
        <v>14</v>
      </c>
      <c r="B60" s="67"/>
      <c r="C60" s="67"/>
      <c r="D60" s="67"/>
      <c r="H60" s="73">
        <v>-69639.7</v>
      </c>
      <c r="I60" s="73">
        <v>-74688.58</v>
      </c>
      <c r="J60" s="73">
        <v>-80103.509999999995</v>
      </c>
      <c r="K60" s="73">
        <v>-85911.01</v>
      </c>
      <c r="L60" s="73">
        <v>-92139.56</v>
      </c>
      <c r="M60" s="73">
        <v>-98819.68</v>
      </c>
      <c r="N60" s="73">
        <v>-105984.1</v>
      </c>
      <c r="O60" s="73">
        <v>-113667.95</v>
      </c>
      <c r="P60" s="15">
        <v>-430713.99</v>
      </c>
      <c r="Q60" s="15">
        <v>-452831.01</v>
      </c>
      <c r="R60" s="15"/>
    </row>
    <row r="61" spans="1:18" x14ac:dyDescent="0.25">
      <c r="A61" s="66" t="s">
        <v>98</v>
      </c>
      <c r="B61" s="67"/>
      <c r="C61" s="67"/>
      <c r="D61" s="67"/>
      <c r="H61" s="65">
        <v>-1091794</v>
      </c>
      <c r="I61" s="65">
        <v>-1870837</v>
      </c>
      <c r="J61" s="65">
        <v>-1870837</v>
      </c>
      <c r="K61" s="65">
        <v>-1870837</v>
      </c>
      <c r="L61" s="65">
        <v>-1870837</v>
      </c>
      <c r="M61" s="65">
        <v>-1870837</v>
      </c>
      <c r="N61" s="65">
        <v>-1870837</v>
      </c>
      <c r="O61" s="65">
        <v>-1870837</v>
      </c>
      <c r="P61" s="65">
        <v>-1870837</v>
      </c>
      <c r="Q61" s="65">
        <v>-1870837</v>
      </c>
    </row>
    <row r="62" spans="1:18" x14ac:dyDescent="0.25">
      <c r="A62" s="68" t="s">
        <v>97</v>
      </c>
      <c r="B62" s="67"/>
      <c r="C62" s="67"/>
      <c r="D62" s="67"/>
      <c r="H62" s="70">
        <f t="shared" ref="H62:Q62" si="15">SUM(H48:H61)</f>
        <v>-2342249.7000000002</v>
      </c>
      <c r="I62" s="70">
        <f t="shared" si="15"/>
        <v>-2229416.46</v>
      </c>
      <c r="J62" s="70">
        <f t="shared" si="15"/>
        <v>-2257082.3563999999</v>
      </c>
      <c r="K62" s="70">
        <f t="shared" si="15"/>
        <v>-2285808.3517920002</v>
      </c>
      <c r="L62" s="70">
        <f t="shared" si="15"/>
        <v>-2315642.9520457601</v>
      </c>
      <c r="M62" s="70">
        <f t="shared" si="15"/>
        <v>-2346637.3038071329</v>
      </c>
      <c r="N62" s="70">
        <f t="shared" si="15"/>
        <v>-2378845.3825213471</v>
      </c>
      <c r="O62" s="70">
        <f t="shared" si="15"/>
        <v>-2412324.2009969875</v>
      </c>
      <c r="P62" s="70">
        <f t="shared" si="15"/>
        <v>-2755939.0585268969</v>
      </c>
      <c r="Q62" s="70">
        <f t="shared" si="15"/>
        <v>-2805421.9605827043</v>
      </c>
    </row>
    <row r="63" spans="1:18" x14ac:dyDescent="0.25">
      <c r="A63" s="66"/>
      <c r="B63" s="67"/>
      <c r="C63" s="67"/>
      <c r="D63" s="67"/>
      <c r="H63" s="65"/>
      <c r="I63" s="65"/>
      <c r="J63" s="65"/>
      <c r="K63" s="65"/>
      <c r="L63" s="65"/>
      <c r="M63" s="65"/>
      <c r="N63" s="65"/>
      <c r="O63" s="65"/>
      <c r="P63" s="65"/>
      <c r="Q63" s="65"/>
    </row>
    <row r="64" spans="1:18" x14ac:dyDescent="0.25">
      <c r="A64" s="69" t="s">
        <v>99</v>
      </c>
      <c r="B64" s="67"/>
      <c r="C64" s="67"/>
      <c r="D64" s="67"/>
      <c r="H64" s="65"/>
      <c r="I64" s="65"/>
      <c r="J64" s="65"/>
      <c r="K64" s="65"/>
      <c r="L64" s="65"/>
      <c r="M64" s="65"/>
      <c r="N64" s="65"/>
      <c r="O64" s="65"/>
      <c r="P64" s="65"/>
      <c r="Q64" s="65"/>
    </row>
    <row r="65" spans="1:18" x14ac:dyDescent="0.25">
      <c r="A65" s="66" t="s">
        <v>96</v>
      </c>
      <c r="B65" s="67"/>
      <c r="C65" s="67"/>
      <c r="D65" s="67"/>
      <c r="H65" s="65">
        <v>-52000</v>
      </c>
      <c r="I65" s="65">
        <v>0</v>
      </c>
      <c r="J65" s="65">
        <v>0</v>
      </c>
      <c r="K65" s="65">
        <v>0</v>
      </c>
      <c r="L65" s="65">
        <v>0</v>
      </c>
      <c r="M65" s="65">
        <v>0</v>
      </c>
      <c r="N65" s="65">
        <v>0</v>
      </c>
      <c r="O65" s="65">
        <v>0</v>
      </c>
      <c r="P65" s="65">
        <v>0</v>
      </c>
      <c r="Q65" s="65">
        <v>0</v>
      </c>
    </row>
    <row r="66" spans="1:18" x14ac:dyDescent="0.25">
      <c r="A66" s="66" t="s">
        <v>102</v>
      </c>
      <c r="B66" s="67"/>
      <c r="C66" s="67"/>
      <c r="D66" s="67"/>
      <c r="H66" s="65">
        <v>-10000</v>
      </c>
      <c r="I66" s="65">
        <f>H66*1.03</f>
        <v>-10300</v>
      </c>
      <c r="J66" s="65">
        <f t="shared" ref="J66:Q66" si="16">I66*1.03</f>
        <v>-10609</v>
      </c>
      <c r="K66" s="65">
        <f t="shared" si="16"/>
        <v>-10927.27</v>
      </c>
      <c r="L66" s="65">
        <f t="shared" si="16"/>
        <v>-11255.088100000001</v>
      </c>
      <c r="M66" s="65">
        <f t="shared" si="16"/>
        <v>-11592.740743</v>
      </c>
      <c r="N66" s="65">
        <f t="shared" si="16"/>
        <v>-11940.52296529</v>
      </c>
      <c r="O66" s="65">
        <f t="shared" si="16"/>
        <v>-12298.7386542487</v>
      </c>
      <c r="P66" s="65">
        <f t="shared" si="16"/>
        <v>-12667.700813876161</v>
      </c>
      <c r="Q66" s="65">
        <f t="shared" si="16"/>
        <v>-13047.731838292446</v>
      </c>
    </row>
    <row r="67" spans="1:18" x14ac:dyDescent="0.25">
      <c r="A67" s="20" t="s">
        <v>100</v>
      </c>
      <c r="B67" s="19"/>
      <c r="C67" s="19"/>
      <c r="H67" s="18">
        <v>0</v>
      </c>
      <c r="I67" s="18">
        <v>-935419</v>
      </c>
      <c r="J67" s="15">
        <v>0</v>
      </c>
      <c r="K67" s="15">
        <v>0</v>
      </c>
      <c r="L67" s="15">
        <v>0</v>
      </c>
      <c r="M67" s="15">
        <v>0</v>
      </c>
      <c r="N67" s="15">
        <v>0</v>
      </c>
      <c r="O67" s="15">
        <v>0</v>
      </c>
      <c r="P67" s="15">
        <v>0</v>
      </c>
      <c r="Q67" s="15">
        <v>0</v>
      </c>
    </row>
    <row r="68" spans="1:18" x14ac:dyDescent="0.25">
      <c r="A68" s="20" t="s">
        <v>101</v>
      </c>
      <c r="H68" s="15">
        <v>-320000</v>
      </c>
      <c r="I68" s="15">
        <v>0</v>
      </c>
      <c r="J68" s="15">
        <v>0</v>
      </c>
      <c r="K68" s="15">
        <v>0</v>
      </c>
      <c r="L68" s="15">
        <v>0</v>
      </c>
      <c r="M68" s="15">
        <v>0</v>
      </c>
      <c r="N68" s="15">
        <v>0</v>
      </c>
      <c r="O68" s="15">
        <v>0</v>
      </c>
      <c r="P68" s="15">
        <v>0</v>
      </c>
      <c r="Q68" s="15">
        <v>0</v>
      </c>
    </row>
    <row r="69" spans="1:18" x14ac:dyDescent="0.25">
      <c r="A69" s="20" t="s">
        <v>103</v>
      </c>
      <c r="H69" s="15">
        <v>1133367</v>
      </c>
      <c r="I69" s="15">
        <v>1403987</v>
      </c>
      <c r="J69" s="15">
        <v>0</v>
      </c>
      <c r="K69" s="15">
        <v>0</v>
      </c>
      <c r="L69" s="15">
        <v>0</v>
      </c>
      <c r="M69" s="15">
        <v>0</v>
      </c>
      <c r="N69" s="15">
        <v>0</v>
      </c>
      <c r="O69" s="15">
        <v>0</v>
      </c>
      <c r="P69" s="15">
        <v>0</v>
      </c>
      <c r="Q69" s="15">
        <v>0</v>
      </c>
    </row>
    <row r="70" spans="1:18" x14ac:dyDescent="0.25">
      <c r="A70" s="6" t="s">
        <v>104</v>
      </c>
      <c r="H70" s="17">
        <f t="shared" ref="H70:Q70" si="17">SUM(H65:H69)</f>
        <v>751367</v>
      </c>
      <c r="I70" s="17">
        <f t="shared" si="17"/>
        <v>458268</v>
      </c>
      <c r="J70" s="17">
        <f t="shared" si="17"/>
        <v>-10609</v>
      </c>
      <c r="K70" s="17">
        <f t="shared" si="17"/>
        <v>-10927.27</v>
      </c>
      <c r="L70" s="17">
        <f t="shared" si="17"/>
        <v>-11255.088100000001</v>
      </c>
      <c r="M70" s="17">
        <f t="shared" si="17"/>
        <v>-11592.740743</v>
      </c>
      <c r="N70" s="17">
        <f t="shared" si="17"/>
        <v>-11940.52296529</v>
      </c>
      <c r="O70" s="17">
        <f t="shared" si="17"/>
        <v>-12298.7386542487</v>
      </c>
      <c r="P70" s="17">
        <f t="shared" si="17"/>
        <v>-12667.700813876161</v>
      </c>
      <c r="Q70" s="17">
        <f t="shared" si="17"/>
        <v>-13047.731838292446</v>
      </c>
    </row>
    <row r="72" spans="1:18" x14ac:dyDescent="0.25">
      <c r="A72" s="2" t="s">
        <v>107</v>
      </c>
      <c r="H72" s="9">
        <f>H45+H62+H70</f>
        <v>3149837.45</v>
      </c>
      <c r="I72" s="9">
        <f>I45+I62+I70</f>
        <v>3059686.8610000005</v>
      </c>
      <c r="J72" s="9">
        <f t="shared" ref="J72:Q72" si="18">J45+J62+J70</f>
        <v>2605037.5013840003</v>
      </c>
      <c r="K72" s="9">
        <f t="shared" si="18"/>
        <v>2724396.5351364003</v>
      </c>
      <c r="L72" s="9">
        <f t="shared" si="18"/>
        <v>2792246.4079212085</v>
      </c>
      <c r="M72" s="9">
        <f t="shared" si="18"/>
        <v>2860886.940478174</v>
      </c>
      <c r="N72" s="9">
        <f t="shared" si="18"/>
        <v>2930303.0672422363</v>
      </c>
      <c r="O72" s="9">
        <f t="shared" si="18"/>
        <v>3000477.4605322131</v>
      </c>
      <c r="P72" s="9">
        <f t="shared" si="18"/>
        <v>2762585.2968463465</v>
      </c>
      <c r="Q72" s="9">
        <f t="shared" si="18"/>
        <v>2820935.8528898666</v>
      </c>
      <c r="R72" s="9">
        <f>SUM(H72:Q72)</f>
        <v>28706393.373430442</v>
      </c>
    </row>
    <row r="73" spans="1:18" x14ac:dyDescent="0.25">
      <c r="A73" s="2"/>
      <c r="H73" s="9"/>
      <c r="I73" s="9"/>
      <c r="J73" s="9"/>
      <c r="K73" s="9"/>
      <c r="L73" s="9"/>
      <c r="M73" s="9"/>
      <c r="N73" s="9"/>
      <c r="O73" s="9"/>
      <c r="P73" s="9"/>
      <c r="Q73" s="9"/>
      <c r="R73" s="9"/>
    </row>
    <row r="74" spans="1:18" x14ac:dyDescent="0.25">
      <c r="A74" s="2"/>
      <c r="H74" s="72"/>
      <c r="I74" s="72"/>
      <c r="J74" s="72"/>
      <c r="K74" s="72"/>
      <c r="L74" s="72"/>
      <c r="M74" s="72"/>
      <c r="N74" s="72"/>
      <c r="O74" s="72"/>
      <c r="P74" s="72"/>
      <c r="Q74" s="72"/>
    </row>
    <row r="75" spans="1:18" x14ac:dyDescent="0.25">
      <c r="A75" s="19"/>
      <c r="H75" s="59"/>
      <c r="I75" s="59"/>
      <c r="J75" s="59"/>
      <c r="K75" s="59"/>
      <c r="L75" s="59"/>
      <c r="M75" s="59"/>
      <c r="N75" s="59"/>
      <c r="O75" s="59"/>
      <c r="P75" s="59"/>
      <c r="Q75" s="59"/>
    </row>
    <row r="76" spans="1:18" x14ac:dyDescent="0.25">
      <c r="A76" s="2"/>
      <c r="H76" s="9"/>
      <c r="I76" s="9"/>
      <c r="J76" s="9"/>
      <c r="K76" s="9"/>
      <c r="L76" s="9"/>
      <c r="M76" s="9"/>
      <c r="N76" s="9"/>
      <c r="O76" s="9"/>
      <c r="P76" s="9"/>
      <c r="Q76" s="9"/>
    </row>
    <row r="77" spans="1:18" x14ac:dyDescent="0.25">
      <c r="A77" s="2"/>
      <c r="H77" s="9"/>
      <c r="I77" s="9"/>
      <c r="J77" s="9"/>
      <c r="K77" s="9"/>
      <c r="L77" s="9"/>
      <c r="M77" s="9"/>
      <c r="N77" s="9"/>
      <c r="O77" s="9"/>
      <c r="P77" s="9"/>
      <c r="Q77" s="9"/>
    </row>
    <row r="78" spans="1:18" x14ac:dyDescent="0.25">
      <c r="A78" s="2"/>
      <c r="H78" s="9"/>
      <c r="I78" s="9"/>
      <c r="J78" s="9"/>
      <c r="K78" s="9"/>
      <c r="L78" s="9"/>
      <c r="M78" s="9"/>
      <c r="N78" s="9"/>
      <c r="O78" s="9"/>
      <c r="P78" s="9"/>
      <c r="Q78" s="9"/>
    </row>
    <row r="79" spans="1:18" x14ac:dyDescent="0.25">
      <c r="A79" s="2"/>
      <c r="H79" s="9"/>
      <c r="I79" s="9"/>
      <c r="J79" s="9"/>
      <c r="K79" s="9"/>
      <c r="L79" s="9"/>
      <c r="M79" s="9"/>
      <c r="N79" s="9"/>
      <c r="O79" s="9"/>
      <c r="P79" s="9"/>
      <c r="Q79" s="9"/>
    </row>
    <row r="80" spans="1:18" x14ac:dyDescent="0.25">
      <c r="A80" s="2"/>
      <c r="H80" s="9"/>
      <c r="I80" s="9"/>
      <c r="J80" s="9"/>
      <c r="K80" s="9"/>
      <c r="L80" s="9"/>
      <c r="M80" s="9"/>
      <c r="N80" s="9"/>
      <c r="O80" s="9"/>
      <c r="P80" s="9"/>
      <c r="Q80" s="9"/>
    </row>
    <row r="81" spans="1:17" x14ac:dyDescent="0.25">
      <c r="A81" s="2"/>
      <c r="H81" s="9"/>
      <c r="I81" s="9"/>
      <c r="J81" s="9"/>
      <c r="K81" s="9"/>
      <c r="L81" s="9"/>
      <c r="M81" s="9"/>
      <c r="N81" s="9"/>
      <c r="O81" s="9"/>
      <c r="P81" s="9"/>
      <c r="Q81" s="9"/>
    </row>
    <row r="82" spans="1:17" x14ac:dyDescent="0.25">
      <c r="A82" s="2"/>
      <c r="H82" s="9"/>
      <c r="I82" s="9"/>
      <c r="J82" s="9"/>
      <c r="K82" s="9"/>
      <c r="L82" s="9"/>
      <c r="M82" s="9"/>
      <c r="N82" s="9"/>
      <c r="O82" s="9"/>
      <c r="P82" s="9"/>
      <c r="Q82" s="9"/>
    </row>
    <row r="85" spans="1:17" x14ac:dyDescent="0.25">
      <c r="A85" s="2"/>
    </row>
  </sheetData>
  <printOptions gridLines="1"/>
  <pageMargins left="0.7" right="0.7" top="0.75" bottom="0.75" header="0.3" footer="0.3"/>
  <pageSetup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workbookViewId="0">
      <selection activeCell="F21" sqref="F21"/>
    </sheetView>
  </sheetViews>
  <sheetFormatPr defaultRowHeight="15" x14ac:dyDescent="0.25"/>
  <cols>
    <col min="6" max="6" width="14.5703125" bestFit="1" customWidth="1"/>
    <col min="8" max="17" width="15" bestFit="1" customWidth="1"/>
    <col min="18" max="18" width="13.85546875" bestFit="1" customWidth="1"/>
  </cols>
  <sheetData>
    <row r="1" spans="1:6" x14ac:dyDescent="0.25">
      <c r="A1" s="2" t="s">
        <v>13</v>
      </c>
    </row>
    <row r="2" spans="1:6" x14ac:dyDescent="0.25">
      <c r="A2" t="s">
        <v>18</v>
      </c>
    </row>
    <row r="3" spans="1:6" x14ac:dyDescent="0.25">
      <c r="A3" t="s">
        <v>66</v>
      </c>
    </row>
    <row r="5" spans="1:6" x14ac:dyDescent="0.25">
      <c r="A5" t="s">
        <v>5</v>
      </c>
      <c r="F5">
        <v>208</v>
      </c>
    </row>
    <row r="6" spans="1:6" x14ac:dyDescent="0.25">
      <c r="A6" t="s">
        <v>4</v>
      </c>
      <c r="F6" s="3">
        <v>888</v>
      </c>
    </row>
    <row r="7" spans="1:6" x14ac:dyDescent="0.25">
      <c r="A7" t="s">
        <v>3</v>
      </c>
      <c r="F7" s="8">
        <v>49567832</v>
      </c>
    </row>
    <row r="8" spans="1:6" x14ac:dyDescent="0.25">
      <c r="A8" t="s">
        <v>67</v>
      </c>
      <c r="F8" s="60">
        <v>6033400</v>
      </c>
    </row>
    <row r="9" spans="1:6" x14ac:dyDescent="0.25">
      <c r="A9" t="s">
        <v>68</v>
      </c>
      <c r="F9" s="8">
        <v>226337</v>
      </c>
    </row>
    <row r="10" spans="1:6" x14ac:dyDescent="0.25">
      <c r="A10" t="s">
        <v>2</v>
      </c>
      <c r="F10" s="7">
        <v>1862</v>
      </c>
    </row>
    <row r="11" spans="1:6" x14ac:dyDescent="0.25">
      <c r="A11" t="s">
        <v>22</v>
      </c>
      <c r="F11" s="63">
        <v>0.05</v>
      </c>
    </row>
    <row r="12" spans="1:6" x14ac:dyDescent="0.25">
      <c r="A12" s="1"/>
      <c r="F12" s="21"/>
    </row>
    <row r="13" spans="1:6" x14ac:dyDescent="0.25">
      <c r="A13" s="1"/>
      <c r="F13" s="21"/>
    </row>
    <row r="14" spans="1:6" x14ac:dyDescent="0.25">
      <c r="A14" s="1"/>
      <c r="F14" s="21"/>
    </row>
    <row r="16" spans="1:6" x14ac:dyDescent="0.25">
      <c r="A16" s="2" t="s">
        <v>6</v>
      </c>
    </row>
    <row r="17" spans="1:17" x14ac:dyDescent="0.25">
      <c r="A17" s="1" t="s">
        <v>7</v>
      </c>
      <c r="F17">
        <v>1.02</v>
      </c>
    </row>
    <row r="18" spans="1:17" x14ac:dyDescent="0.25">
      <c r="A18" s="1" t="s">
        <v>21</v>
      </c>
      <c r="F18">
        <v>1.03</v>
      </c>
    </row>
    <row r="19" spans="1:17" x14ac:dyDescent="0.25">
      <c r="A19" s="1" t="s">
        <v>69</v>
      </c>
      <c r="F19">
        <v>1.0725</v>
      </c>
    </row>
    <row r="20" spans="1:17" x14ac:dyDescent="0.25">
      <c r="A20" s="1" t="s">
        <v>70</v>
      </c>
      <c r="F20">
        <v>1.0429999999999999</v>
      </c>
    </row>
    <row r="21" spans="1:17" x14ac:dyDescent="0.25">
      <c r="A21" s="1" t="s">
        <v>8</v>
      </c>
      <c r="F21" s="7">
        <v>39654666</v>
      </c>
    </row>
    <row r="22" spans="1:17" ht="30" x14ac:dyDescent="0.25">
      <c r="A22" s="11" t="s">
        <v>9</v>
      </c>
      <c r="D22" s="10"/>
      <c r="F22" s="12" t="s">
        <v>105</v>
      </c>
    </row>
    <row r="23" spans="1:17" x14ac:dyDescent="0.25">
      <c r="A23" s="1" t="s">
        <v>10</v>
      </c>
      <c r="F23" s="7"/>
    </row>
    <row r="24" spans="1:17" x14ac:dyDescent="0.25">
      <c r="A24" s="1" t="s">
        <v>106</v>
      </c>
      <c r="F24" s="7"/>
    </row>
    <row r="25" spans="1:17" x14ac:dyDescent="0.25">
      <c r="A25" s="1" t="s">
        <v>83</v>
      </c>
      <c r="F25" s="65">
        <v>-1091794</v>
      </c>
    </row>
    <row r="26" spans="1:17" x14ac:dyDescent="0.25">
      <c r="A26" s="1" t="s">
        <v>84</v>
      </c>
      <c r="F26" s="65">
        <v>-1870837</v>
      </c>
    </row>
    <row r="27" spans="1:17" x14ac:dyDescent="0.25">
      <c r="A27" s="1" t="s">
        <v>15</v>
      </c>
      <c r="F27" s="14" t="s">
        <v>16</v>
      </c>
    </row>
    <row r="28" spans="1:17" x14ac:dyDescent="0.25">
      <c r="A28" t="s">
        <v>17</v>
      </c>
      <c r="F28">
        <v>8</v>
      </c>
    </row>
    <row r="29" spans="1:17" x14ac:dyDescent="0.25">
      <c r="H29" s="71">
        <v>2020</v>
      </c>
      <c r="I29" s="71">
        <v>2021</v>
      </c>
      <c r="J29" s="71">
        <v>2022</v>
      </c>
      <c r="K29" s="71">
        <v>2023</v>
      </c>
      <c r="L29" s="71">
        <v>2024</v>
      </c>
      <c r="M29" s="71">
        <v>2025</v>
      </c>
      <c r="N29" s="71">
        <v>2026</v>
      </c>
      <c r="O29" s="71">
        <v>2027</v>
      </c>
      <c r="P29" s="71">
        <v>2028</v>
      </c>
      <c r="Q29" s="71">
        <v>2029</v>
      </c>
    </row>
    <row r="30" spans="1:17" x14ac:dyDescent="0.25">
      <c r="A30" s="2" t="s">
        <v>0</v>
      </c>
      <c r="H30" s="4" t="s">
        <v>65</v>
      </c>
      <c r="I30" s="4" t="s">
        <v>64</v>
      </c>
      <c r="J30" s="4" t="s">
        <v>63</v>
      </c>
      <c r="K30" s="4" t="s">
        <v>62</v>
      </c>
      <c r="L30" s="4" t="s">
        <v>61</v>
      </c>
      <c r="M30" s="4" t="s">
        <v>60</v>
      </c>
      <c r="N30" s="4" t="s">
        <v>59</v>
      </c>
      <c r="O30" s="4" t="s">
        <v>58</v>
      </c>
      <c r="P30" s="4" t="s">
        <v>11</v>
      </c>
      <c r="Q30" s="4" t="s">
        <v>12</v>
      </c>
    </row>
    <row r="31" spans="1:17" x14ac:dyDescent="0.25">
      <c r="A31" s="1" t="s">
        <v>78</v>
      </c>
      <c r="H31" s="15">
        <f>(F5*F10)*12</f>
        <v>4647552</v>
      </c>
      <c r="I31" s="15">
        <f>H31*1.02</f>
        <v>4740503.04</v>
      </c>
      <c r="J31" s="15">
        <f>I31*F17</f>
        <v>4835313.1008000001</v>
      </c>
      <c r="K31" s="15">
        <f>J31*F17</f>
        <v>4932019.3628160004</v>
      </c>
      <c r="L31" s="15">
        <f>K31*F17</f>
        <v>5030659.75007232</v>
      </c>
      <c r="M31" s="15">
        <f>L31*F17</f>
        <v>5131272.9450737666</v>
      </c>
      <c r="N31" s="15">
        <f>M31*F17</f>
        <v>5233898.4039752418</v>
      </c>
      <c r="O31" s="15">
        <f>N31*F17</f>
        <v>5338576.3720547464</v>
      </c>
      <c r="P31" s="15">
        <f>O31*F17</f>
        <v>5445347.899495841</v>
      </c>
      <c r="Q31" s="15">
        <f>P31*F17</f>
        <v>5554254.8574857581</v>
      </c>
    </row>
    <row r="32" spans="1:17" x14ac:dyDescent="0.25">
      <c r="A32" s="13" t="s">
        <v>71</v>
      </c>
      <c r="H32" s="15"/>
      <c r="I32" s="15"/>
      <c r="J32" s="15"/>
      <c r="K32" s="15"/>
      <c r="L32" s="15"/>
      <c r="M32" s="15"/>
      <c r="N32" s="15"/>
      <c r="O32" s="15"/>
      <c r="P32" s="15"/>
      <c r="Q32" s="15"/>
    </row>
    <row r="33" spans="1:17" x14ac:dyDescent="0.25">
      <c r="A33" s="61" t="s">
        <v>72</v>
      </c>
      <c r="H33" s="15">
        <v>101290</v>
      </c>
      <c r="I33" s="15">
        <f>H33*F17</f>
        <v>103315.8</v>
      </c>
      <c r="J33" s="15">
        <f>I33*F17</f>
        <v>105382.11600000001</v>
      </c>
      <c r="K33" s="15">
        <f>J33*F17</f>
        <v>107489.75832000001</v>
      </c>
      <c r="L33" s="15">
        <f>K33*F17</f>
        <v>109639.55348640001</v>
      </c>
      <c r="M33" s="15">
        <f>L33*F17</f>
        <v>111832.34455612801</v>
      </c>
      <c r="N33" s="15">
        <f>M33*F17</f>
        <v>114068.99144725058</v>
      </c>
      <c r="O33" s="15">
        <f>N33*F17</f>
        <v>116350.3712761956</v>
      </c>
      <c r="P33" s="15">
        <f>O33*F17</f>
        <v>118677.37870171951</v>
      </c>
      <c r="Q33" s="15">
        <f>P33*F17</f>
        <v>121050.92627575391</v>
      </c>
    </row>
    <row r="34" spans="1:17" x14ac:dyDescent="0.25">
      <c r="A34" s="61" t="s">
        <v>73</v>
      </c>
      <c r="H34" s="15">
        <v>71070</v>
      </c>
      <c r="I34" s="15">
        <f>H34*F17</f>
        <v>72491.399999999994</v>
      </c>
      <c r="J34" s="15">
        <f>I34*F17</f>
        <v>73941.227999999988</v>
      </c>
      <c r="K34" s="15">
        <f>J34*F17</f>
        <v>75420.052559999996</v>
      </c>
      <c r="L34" s="15">
        <f>K34*F17</f>
        <v>76928.453611199991</v>
      </c>
      <c r="M34" s="15">
        <f>L34*F17</f>
        <v>78467.022683423987</v>
      </c>
      <c r="N34" s="15">
        <f>M34*F17</f>
        <v>80036.36313709247</v>
      </c>
      <c r="O34" s="15">
        <f>N34*F17</f>
        <v>81637.090399834327</v>
      </c>
      <c r="P34" s="15">
        <f>O34*F17</f>
        <v>83269.832207831016</v>
      </c>
      <c r="Q34" s="15">
        <f>P34*F17</f>
        <v>84935.228851987631</v>
      </c>
    </row>
    <row r="35" spans="1:17" x14ac:dyDescent="0.25">
      <c r="A35" s="61" t="s">
        <v>74</v>
      </c>
      <c r="H35" s="15">
        <v>25029</v>
      </c>
      <c r="I35" s="15">
        <f>H35*F17</f>
        <v>25529.58</v>
      </c>
      <c r="J35" s="15">
        <f>I35*F17</f>
        <v>26040.171600000001</v>
      </c>
      <c r="K35" s="15">
        <f>J35*F17</f>
        <v>26560.975032000002</v>
      </c>
      <c r="L35" s="15">
        <f>K35*F17</f>
        <v>27092.194532640002</v>
      </c>
      <c r="M35" s="15">
        <f>L35*F17</f>
        <v>27634.038423292801</v>
      </c>
      <c r="N35" s="15">
        <f>M35*F17</f>
        <v>28186.719191758657</v>
      </c>
      <c r="O35" s="15">
        <f>N35*F17</f>
        <v>28750.45357559383</v>
      </c>
      <c r="P35" s="15">
        <f>O35*F17</f>
        <v>29325.462647105709</v>
      </c>
      <c r="Q35" s="15">
        <f>P35*F17</f>
        <v>29911.971900047825</v>
      </c>
    </row>
    <row r="36" spans="1:17" x14ac:dyDescent="0.25">
      <c r="A36" s="61" t="s">
        <v>75</v>
      </c>
      <c r="H36" s="15">
        <v>16068</v>
      </c>
      <c r="I36" s="15">
        <f>H36*F17</f>
        <v>16389.36</v>
      </c>
      <c r="J36" s="15">
        <f>I36*F17</f>
        <v>16717.147199999999</v>
      </c>
      <c r="K36" s="15">
        <f>J36*F17</f>
        <v>17051.490143999999</v>
      </c>
      <c r="L36" s="15">
        <f>K36*F17</f>
        <v>17392.519946879998</v>
      </c>
      <c r="M36" s="15">
        <f>L36*F17</f>
        <v>17740.370345817599</v>
      </c>
      <c r="N36" s="15">
        <f>M36*F17</f>
        <v>18095.177752733951</v>
      </c>
      <c r="O36" s="15">
        <f>N36*F17</f>
        <v>18457.081307788631</v>
      </c>
      <c r="P36" s="15">
        <f>O36*F17</f>
        <v>18826.222933944402</v>
      </c>
      <c r="Q36" s="15">
        <f>P36*F17</f>
        <v>19202.747392623289</v>
      </c>
    </row>
    <row r="37" spans="1:17" x14ac:dyDescent="0.25">
      <c r="A37" s="61" t="s">
        <v>77</v>
      </c>
      <c r="H37" s="15">
        <v>173888</v>
      </c>
      <c r="I37" s="15">
        <v>173888</v>
      </c>
      <c r="J37" s="15">
        <v>173888</v>
      </c>
      <c r="K37" s="15">
        <v>173888</v>
      </c>
      <c r="L37" s="15">
        <v>173888</v>
      </c>
      <c r="M37" s="15">
        <v>173888</v>
      </c>
      <c r="N37" s="15">
        <v>173888</v>
      </c>
      <c r="O37" s="15">
        <v>173888</v>
      </c>
      <c r="P37" s="15">
        <v>173888</v>
      </c>
      <c r="Q37" s="15">
        <v>173888</v>
      </c>
    </row>
    <row r="38" spans="1:17" x14ac:dyDescent="0.25">
      <c r="A38" s="64" t="s">
        <v>80</v>
      </c>
      <c r="B38" s="2"/>
      <c r="C38" s="2"/>
      <c r="D38" s="2"/>
      <c r="E38" s="2"/>
      <c r="F38" s="2"/>
      <c r="G38" s="2"/>
      <c r="H38" s="17">
        <f t="shared" ref="H38:Q38" si="0">SUM(H31:H37)</f>
        <v>5034897</v>
      </c>
      <c r="I38" s="17">
        <f t="shared" si="0"/>
        <v>5132117.1800000006</v>
      </c>
      <c r="J38" s="17">
        <f t="shared" si="0"/>
        <v>5231281.7636000002</v>
      </c>
      <c r="K38" s="17">
        <f t="shared" si="0"/>
        <v>5332429.6388720004</v>
      </c>
      <c r="L38" s="17">
        <f t="shared" si="0"/>
        <v>5435600.47164944</v>
      </c>
      <c r="M38" s="17">
        <f t="shared" si="0"/>
        <v>5540834.7210824285</v>
      </c>
      <c r="N38" s="17">
        <f t="shared" si="0"/>
        <v>5648173.6555040777</v>
      </c>
      <c r="O38" s="17">
        <f t="shared" si="0"/>
        <v>5757659.3686141577</v>
      </c>
      <c r="P38" s="17">
        <f t="shared" si="0"/>
        <v>5869334.795986441</v>
      </c>
      <c r="Q38" s="17">
        <f t="shared" si="0"/>
        <v>5983243.7319061719</v>
      </c>
    </row>
    <row r="39" spans="1:17" x14ac:dyDescent="0.25">
      <c r="A39" s="62"/>
      <c r="H39" s="15"/>
      <c r="I39" s="15"/>
      <c r="J39" s="15"/>
      <c r="K39" s="15"/>
      <c r="L39" s="15"/>
      <c r="M39" s="15"/>
      <c r="N39" s="15"/>
      <c r="O39" s="15"/>
      <c r="P39" s="15"/>
      <c r="Q39" s="15"/>
    </row>
    <row r="40" spans="1:17" x14ac:dyDescent="0.25">
      <c r="A40" s="62" t="s">
        <v>76</v>
      </c>
      <c r="H40" s="15">
        <f>H38*-0.05</f>
        <v>-251744.85</v>
      </c>
      <c r="I40" s="15">
        <f>I38*-0.05</f>
        <v>-256605.85900000005</v>
      </c>
      <c r="J40" s="15">
        <f>J38*-0.06</f>
        <v>-313876.90581600001</v>
      </c>
      <c r="K40" s="15">
        <f t="shared" ref="K40:Q40" si="1">K38*-0.05</f>
        <v>-266621.48194360005</v>
      </c>
      <c r="L40" s="15">
        <f t="shared" si="1"/>
        <v>-271780.023582472</v>
      </c>
      <c r="M40" s="15">
        <f t="shared" si="1"/>
        <v>-277041.73605412146</v>
      </c>
      <c r="N40" s="15">
        <f t="shared" si="1"/>
        <v>-282408.6827752039</v>
      </c>
      <c r="O40" s="15">
        <f t="shared" si="1"/>
        <v>-287882.96843070787</v>
      </c>
      <c r="P40" s="15">
        <f t="shared" si="1"/>
        <v>-293466.73979932204</v>
      </c>
      <c r="Q40" s="15">
        <f t="shared" si="1"/>
        <v>-299162.18659530859</v>
      </c>
    </row>
    <row r="41" spans="1:17" x14ac:dyDescent="0.25">
      <c r="A41" s="62" t="s">
        <v>19</v>
      </c>
      <c r="H41" s="15">
        <f>-103*F5</f>
        <v>-21424</v>
      </c>
      <c r="I41" s="15">
        <v>-22557</v>
      </c>
      <c r="J41" s="15">
        <v>-22557</v>
      </c>
      <c r="K41" s="15">
        <v>-22557</v>
      </c>
      <c r="L41" s="15">
        <v>-22557</v>
      </c>
      <c r="M41" s="15">
        <v>-22557</v>
      </c>
      <c r="N41" s="15">
        <v>-22557</v>
      </c>
      <c r="O41" s="15">
        <v>-22557</v>
      </c>
      <c r="P41" s="15">
        <v>-22557</v>
      </c>
      <c r="Q41" s="15">
        <v>-22557</v>
      </c>
    </row>
    <row r="42" spans="1:17" x14ac:dyDescent="0.25">
      <c r="A42" s="62" t="s">
        <v>20</v>
      </c>
      <c r="H42" s="15">
        <f>-101*F5</f>
        <v>-21008</v>
      </c>
      <c r="I42" s="15">
        <v>-22119</v>
      </c>
      <c r="J42" s="15">
        <v>-22119</v>
      </c>
      <c r="K42" s="15">
        <v>-22119</v>
      </c>
      <c r="L42" s="15">
        <v>-22119</v>
      </c>
      <c r="M42" s="15">
        <v>-22119</v>
      </c>
      <c r="N42" s="15">
        <v>-22119</v>
      </c>
      <c r="O42" s="15">
        <v>-22119</v>
      </c>
      <c r="P42" s="15">
        <v>-22119</v>
      </c>
      <c r="Q42" s="15">
        <v>-22119</v>
      </c>
    </row>
    <row r="43" spans="1:17" x14ac:dyDescent="0.25">
      <c r="A43" s="64" t="s">
        <v>79</v>
      </c>
      <c r="H43" s="17">
        <f>SUM(H40:H42)</f>
        <v>-294176.84999999998</v>
      </c>
      <c r="I43" s="17">
        <f>SUM(I40:I42)</f>
        <v>-301281.85900000005</v>
      </c>
      <c r="J43" s="17">
        <f>SUM(J40:J42)</f>
        <v>-358552.90581600001</v>
      </c>
      <c r="K43" s="17">
        <f>SUM(K40:K42)</f>
        <v>-311297.48194360005</v>
      </c>
      <c r="L43" s="17">
        <f t="shared" ref="L43:Q43" si="2">SUM(L40:L42)</f>
        <v>-316456.023582472</v>
      </c>
      <c r="M43" s="17">
        <f t="shared" si="2"/>
        <v>-321717.73605412146</v>
      </c>
      <c r="N43" s="17">
        <f t="shared" si="2"/>
        <v>-327084.6827752039</v>
      </c>
      <c r="O43" s="17">
        <f t="shared" si="2"/>
        <v>-332558.96843070787</v>
      </c>
      <c r="P43" s="17">
        <f t="shared" si="2"/>
        <v>-338142.73979932204</v>
      </c>
      <c r="Q43" s="17">
        <f t="shared" si="2"/>
        <v>-343838.18659530859</v>
      </c>
    </row>
    <row r="44" spans="1:17" x14ac:dyDescent="0.25">
      <c r="A44" s="6"/>
      <c r="H44" s="17"/>
      <c r="I44" s="17"/>
      <c r="J44" s="17"/>
      <c r="K44" s="17"/>
      <c r="L44" s="17"/>
      <c r="M44" s="17"/>
      <c r="N44" s="17"/>
      <c r="O44" s="17"/>
      <c r="P44" s="17"/>
      <c r="Q44" s="17"/>
    </row>
    <row r="45" spans="1:17" x14ac:dyDescent="0.25">
      <c r="A45" s="6" t="s">
        <v>81</v>
      </c>
      <c r="H45" s="17">
        <f>H38+H43</f>
        <v>4740720.1500000004</v>
      </c>
      <c r="I45" s="17">
        <f>I38+I43</f>
        <v>4830835.3210000005</v>
      </c>
      <c r="J45" s="17">
        <f t="shared" ref="J45:Q45" si="3">J38+J43</f>
        <v>4872728.8577840002</v>
      </c>
      <c r="K45" s="17">
        <f t="shared" si="3"/>
        <v>5021132.1569284005</v>
      </c>
      <c r="L45" s="17">
        <f t="shared" si="3"/>
        <v>5119144.4480669685</v>
      </c>
      <c r="M45" s="17">
        <f t="shared" si="3"/>
        <v>5219116.985028307</v>
      </c>
      <c r="N45" s="17">
        <f t="shared" si="3"/>
        <v>5321088.9727288736</v>
      </c>
      <c r="O45" s="17">
        <f t="shared" si="3"/>
        <v>5425100.4001834495</v>
      </c>
      <c r="P45" s="17">
        <f t="shared" si="3"/>
        <v>5531192.0561871193</v>
      </c>
      <c r="Q45" s="17">
        <f t="shared" si="3"/>
        <v>5639405.5453108633</v>
      </c>
    </row>
    <row r="46" spans="1:17" x14ac:dyDescent="0.25">
      <c r="A46" s="6"/>
      <c r="H46" s="17"/>
      <c r="I46" s="17"/>
      <c r="J46" s="17"/>
      <c r="K46" s="17"/>
      <c r="L46" s="17"/>
      <c r="M46" s="17"/>
      <c r="N46" s="17"/>
      <c r="O46" s="17"/>
      <c r="P46" s="17"/>
      <c r="Q46" s="17"/>
    </row>
    <row r="47" spans="1:17" x14ac:dyDescent="0.25">
      <c r="A47" s="2" t="s">
        <v>1</v>
      </c>
      <c r="H47" s="5"/>
    </row>
    <row r="48" spans="1:17" x14ac:dyDescent="0.25">
      <c r="A48" s="66" t="s">
        <v>82</v>
      </c>
      <c r="B48" s="67"/>
      <c r="C48" s="67"/>
      <c r="D48" s="67"/>
      <c r="H48" s="15">
        <f>-2284*F5</f>
        <v>-475072</v>
      </c>
      <c r="I48" s="15">
        <f>-475072*1.03</f>
        <v>-489324.16000000003</v>
      </c>
      <c r="J48" s="15">
        <f>I48*1.03</f>
        <v>-504003.88480000006</v>
      </c>
      <c r="K48" s="15">
        <f>J48*1.03</f>
        <v>-519124.00134400005</v>
      </c>
      <c r="L48" s="15">
        <f t="shared" ref="L48:Q48" si="4">K48*1.03</f>
        <v>-534697.72138432006</v>
      </c>
      <c r="M48" s="15">
        <f t="shared" si="4"/>
        <v>-550738.65302584972</v>
      </c>
      <c r="N48" s="15">
        <f t="shared" si="4"/>
        <v>-567260.81261662522</v>
      </c>
      <c r="O48" s="15">
        <f t="shared" si="4"/>
        <v>-584278.63699512393</v>
      </c>
      <c r="P48" s="15">
        <f t="shared" si="4"/>
        <v>-601806.99610497768</v>
      </c>
      <c r="Q48" s="15">
        <f t="shared" si="4"/>
        <v>-619861.20598812704</v>
      </c>
    </row>
    <row r="49" spans="1:17" x14ac:dyDescent="0.25">
      <c r="A49" s="66" t="s">
        <v>86</v>
      </c>
      <c r="B49" s="67"/>
      <c r="C49" s="67"/>
      <c r="D49" s="67"/>
      <c r="H49" s="15">
        <f>-275*F5</f>
        <v>-57200</v>
      </c>
      <c r="I49" s="15">
        <f>H49*1.03</f>
        <v>-58916</v>
      </c>
      <c r="J49" s="15">
        <f t="shared" ref="J49:Q49" si="5">I49*1.03</f>
        <v>-60683.48</v>
      </c>
      <c r="K49" s="15">
        <f t="shared" si="5"/>
        <v>-62503.984400000008</v>
      </c>
      <c r="L49" s="15">
        <f t="shared" si="5"/>
        <v>-64379.103932000013</v>
      </c>
      <c r="M49" s="15">
        <f t="shared" si="5"/>
        <v>-66310.477049960013</v>
      </c>
      <c r="N49" s="15">
        <f t="shared" si="5"/>
        <v>-68299.791361458818</v>
      </c>
      <c r="O49" s="15">
        <f t="shared" si="5"/>
        <v>-70348.785102302587</v>
      </c>
      <c r="P49" s="15">
        <f t="shared" si="5"/>
        <v>-72459.248655371674</v>
      </c>
      <c r="Q49" s="15">
        <f t="shared" si="5"/>
        <v>-74633.02611503283</v>
      </c>
    </row>
    <row r="50" spans="1:17" x14ac:dyDescent="0.25">
      <c r="A50" s="66" t="s">
        <v>85</v>
      </c>
      <c r="B50" s="67"/>
      <c r="C50" s="67"/>
      <c r="D50" s="67"/>
      <c r="H50" s="15">
        <f>-2208*F5</f>
        <v>-459264</v>
      </c>
      <c r="I50" s="15">
        <v>459264</v>
      </c>
      <c r="J50" s="15">
        <v>459264</v>
      </c>
      <c r="K50" s="15">
        <v>459264</v>
      </c>
      <c r="L50" s="15">
        <v>459264</v>
      </c>
      <c r="M50" s="15">
        <v>459264</v>
      </c>
      <c r="N50" s="15">
        <v>459264</v>
      </c>
      <c r="O50" s="15">
        <v>459264</v>
      </c>
      <c r="P50" s="15">
        <v>459264</v>
      </c>
      <c r="Q50" s="15">
        <v>459264</v>
      </c>
    </row>
    <row r="51" spans="1:17" x14ac:dyDescent="0.25">
      <c r="A51" s="66" t="s">
        <v>87</v>
      </c>
      <c r="B51" s="67"/>
      <c r="C51" s="67"/>
      <c r="D51" s="67"/>
      <c r="H51" s="16">
        <f>-250*F5</f>
        <v>-52000</v>
      </c>
      <c r="I51" s="15">
        <f t="shared" ref="I51:Q58" si="6">H51*1.03</f>
        <v>-53560</v>
      </c>
      <c r="J51" s="15">
        <f t="shared" si="6"/>
        <v>-55166.8</v>
      </c>
      <c r="K51" s="15">
        <f t="shared" si="6"/>
        <v>-56821.804000000004</v>
      </c>
      <c r="L51" s="15">
        <f t="shared" si="6"/>
        <v>-58526.458120000003</v>
      </c>
      <c r="M51" s="15">
        <f t="shared" si="6"/>
        <v>-60282.251863600002</v>
      </c>
      <c r="N51" s="15">
        <f t="shared" si="6"/>
        <v>-62090.719419508001</v>
      </c>
      <c r="O51" s="15">
        <f t="shared" si="6"/>
        <v>-63953.441002093241</v>
      </c>
      <c r="P51" s="15">
        <f t="shared" si="6"/>
        <v>-65872.04423215604</v>
      </c>
      <c r="Q51" s="15">
        <f t="shared" si="6"/>
        <v>-67848.205559120717</v>
      </c>
    </row>
    <row r="52" spans="1:17" x14ac:dyDescent="0.25">
      <c r="A52" s="66" t="s">
        <v>88</v>
      </c>
      <c r="B52" s="67"/>
      <c r="C52" s="67"/>
      <c r="D52" s="67"/>
      <c r="H52" s="15">
        <f>-293*F5</f>
        <v>-60944</v>
      </c>
      <c r="I52" s="15">
        <f t="shared" si="6"/>
        <v>-62772.32</v>
      </c>
      <c r="J52" s="15">
        <f t="shared" si="6"/>
        <v>-64655.489600000001</v>
      </c>
      <c r="K52" s="15">
        <f t="shared" si="6"/>
        <v>-66595.154288000005</v>
      </c>
      <c r="L52" s="15">
        <f t="shared" si="6"/>
        <v>-68593.008916640014</v>
      </c>
      <c r="M52" s="15">
        <f t="shared" si="6"/>
        <v>-70650.799184139221</v>
      </c>
      <c r="N52" s="15">
        <f t="shared" si="6"/>
        <v>-72770.3231596634</v>
      </c>
      <c r="O52" s="15">
        <f t="shared" si="6"/>
        <v>-74953.432854453305</v>
      </c>
      <c r="P52" s="15">
        <f t="shared" si="6"/>
        <v>-77202.035840086901</v>
      </c>
      <c r="Q52" s="15">
        <f t="shared" si="6"/>
        <v>-79518.096915289512</v>
      </c>
    </row>
    <row r="53" spans="1:17" x14ac:dyDescent="0.25">
      <c r="A53" s="66" t="s">
        <v>89</v>
      </c>
      <c r="B53" s="67"/>
      <c r="C53" s="67"/>
      <c r="D53" s="67"/>
      <c r="H53" s="15">
        <f>-85*F5</f>
        <v>-17680</v>
      </c>
      <c r="I53" s="15">
        <f t="shared" si="6"/>
        <v>-18210.400000000001</v>
      </c>
      <c r="J53" s="15">
        <f t="shared" si="6"/>
        <v>-18756.712000000003</v>
      </c>
      <c r="K53" s="15">
        <f t="shared" si="6"/>
        <v>-19319.413360000002</v>
      </c>
      <c r="L53" s="15">
        <f t="shared" si="6"/>
        <v>-19898.995760800004</v>
      </c>
      <c r="M53" s="15">
        <f t="shared" si="6"/>
        <v>-20495.965633624004</v>
      </c>
      <c r="N53" s="15">
        <f t="shared" si="6"/>
        <v>-21110.844602632726</v>
      </c>
      <c r="O53" s="15">
        <f t="shared" si="6"/>
        <v>-21744.169940711708</v>
      </c>
      <c r="P53" s="15">
        <f t="shared" si="6"/>
        <v>-22396.495038933059</v>
      </c>
      <c r="Q53" s="15">
        <f t="shared" si="6"/>
        <v>-23068.389890101051</v>
      </c>
    </row>
    <row r="54" spans="1:17" x14ac:dyDescent="0.25">
      <c r="A54" s="66" t="s">
        <v>90</v>
      </c>
      <c r="B54" s="67"/>
      <c r="C54" s="67"/>
      <c r="D54" s="67"/>
      <c r="H54" s="15">
        <f>-60*F5</f>
        <v>-12480</v>
      </c>
      <c r="I54" s="15">
        <f t="shared" si="6"/>
        <v>-12854.4</v>
      </c>
      <c r="J54" s="15">
        <f t="shared" si="6"/>
        <v>-13240.031999999999</v>
      </c>
      <c r="K54" s="15">
        <f t="shared" si="6"/>
        <v>-13637.232959999999</v>
      </c>
      <c r="L54" s="15">
        <f t="shared" si="6"/>
        <v>-14046.3499488</v>
      </c>
      <c r="M54" s="15">
        <f t="shared" si="6"/>
        <v>-14467.740447264001</v>
      </c>
      <c r="N54" s="15">
        <f t="shared" si="6"/>
        <v>-14901.772660681921</v>
      </c>
      <c r="O54" s="15">
        <f t="shared" si="6"/>
        <v>-15348.825840502379</v>
      </c>
      <c r="P54" s="15">
        <f t="shared" si="6"/>
        <v>-15809.290615717451</v>
      </c>
      <c r="Q54" s="15">
        <f t="shared" si="6"/>
        <v>-16283.569334188975</v>
      </c>
    </row>
    <row r="55" spans="1:17" x14ac:dyDescent="0.25">
      <c r="A55" s="66" t="s">
        <v>95</v>
      </c>
      <c r="B55" s="67"/>
      <c r="C55" s="67"/>
      <c r="D55" s="67"/>
      <c r="H55" s="15">
        <f>-87*F5</f>
        <v>-18096</v>
      </c>
      <c r="I55" s="15">
        <f t="shared" si="6"/>
        <v>-18638.88</v>
      </c>
      <c r="J55" s="15">
        <f t="shared" si="6"/>
        <v>-19198.046400000003</v>
      </c>
      <c r="K55" s="15">
        <f t="shared" si="6"/>
        <v>-19773.987792000004</v>
      </c>
      <c r="L55" s="15">
        <f t="shared" si="6"/>
        <v>-20367.207425760003</v>
      </c>
      <c r="M55" s="15">
        <f t="shared" si="6"/>
        <v>-20978.223648532803</v>
      </c>
      <c r="N55" s="15">
        <f t="shared" si="6"/>
        <v>-21607.570357988789</v>
      </c>
      <c r="O55" s="15">
        <f t="shared" si="6"/>
        <v>-22255.797468728451</v>
      </c>
      <c r="P55" s="15">
        <f t="shared" si="6"/>
        <v>-22923.471392790307</v>
      </c>
      <c r="Q55" s="15">
        <f t="shared" si="6"/>
        <v>-23611.175534574017</v>
      </c>
    </row>
    <row r="56" spans="1:17" x14ac:dyDescent="0.25">
      <c r="A56" s="66" t="s">
        <v>94</v>
      </c>
      <c r="B56" s="67"/>
      <c r="C56" s="67"/>
      <c r="D56" s="67"/>
      <c r="H56" s="15">
        <f>-67*F5</f>
        <v>-13936</v>
      </c>
      <c r="I56" s="15">
        <f t="shared" si="6"/>
        <v>-14354.08</v>
      </c>
      <c r="J56" s="15">
        <f t="shared" si="6"/>
        <v>-14784.7024</v>
      </c>
      <c r="K56" s="15">
        <f t="shared" si="6"/>
        <v>-15228.243472</v>
      </c>
      <c r="L56" s="15">
        <f t="shared" si="6"/>
        <v>-15685.090776160001</v>
      </c>
      <c r="M56" s="15">
        <f t="shared" si="6"/>
        <v>-16155.643499444801</v>
      </c>
      <c r="N56" s="15">
        <f t="shared" si="6"/>
        <v>-16640.312804428144</v>
      </c>
      <c r="O56" s="15">
        <f t="shared" si="6"/>
        <v>-17139.52218856099</v>
      </c>
      <c r="P56" s="15">
        <f t="shared" si="6"/>
        <v>-17653.707854217821</v>
      </c>
      <c r="Q56" s="15">
        <f t="shared" si="6"/>
        <v>-18183.319089844357</v>
      </c>
    </row>
    <row r="57" spans="1:17" x14ac:dyDescent="0.25">
      <c r="A57" s="66" t="s">
        <v>93</v>
      </c>
      <c r="B57" s="67"/>
      <c r="C57" s="67"/>
      <c r="D57" s="67"/>
      <c r="H57" s="15">
        <f>-27*F5</f>
        <v>-5616</v>
      </c>
      <c r="I57" s="15">
        <f t="shared" si="6"/>
        <v>-5784.4800000000005</v>
      </c>
      <c r="J57" s="15">
        <f t="shared" si="6"/>
        <v>-5958.0144000000009</v>
      </c>
      <c r="K57" s="15">
        <f t="shared" si="6"/>
        <v>-6136.7548320000014</v>
      </c>
      <c r="L57" s="15">
        <f t="shared" si="6"/>
        <v>-6320.8574769600018</v>
      </c>
      <c r="M57" s="15">
        <f t="shared" si="6"/>
        <v>-6510.4832012688021</v>
      </c>
      <c r="N57" s="15">
        <f t="shared" si="6"/>
        <v>-6705.7976973068662</v>
      </c>
      <c r="O57" s="15">
        <f t="shared" si="6"/>
        <v>-6906.9716282260724</v>
      </c>
      <c r="P57" s="15">
        <f t="shared" si="6"/>
        <v>-7114.1807770728547</v>
      </c>
      <c r="Q57" s="15">
        <f t="shared" si="6"/>
        <v>-7327.6062003850402</v>
      </c>
    </row>
    <row r="58" spans="1:17" x14ac:dyDescent="0.25">
      <c r="A58" s="66" t="s">
        <v>92</v>
      </c>
      <c r="B58" s="67"/>
      <c r="C58" s="67"/>
      <c r="D58" s="67"/>
      <c r="H58" s="15">
        <f>-34*F5</f>
        <v>-7072</v>
      </c>
      <c r="I58" s="15">
        <f t="shared" si="6"/>
        <v>-7284.16</v>
      </c>
      <c r="J58" s="15">
        <f t="shared" si="6"/>
        <v>-7502.6848</v>
      </c>
      <c r="K58" s="15">
        <f t="shared" si="6"/>
        <v>-7727.7653440000004</v>
      </c>
      <c r="L58" s="15">
        <f t="shared" si="6"/>
        <v>-7959.5983043200004</v>
      </c>
      <c r="M58" s="15">
        <f t="shared" si="6"/>
        <v>-8198.3862534496002</v>
      </c>
      <c r="N58" s="15">
        <f t="shared" si="6"/>
        <v>-8444.3378410530877</v>
      </c>
      <c r="O58" s="15">
        <f t="shared" si="6"/>
        <v>-8697.6679762846798</v>
      </c>
      <c r="P58" s="15">
        <f t="shared" si="6"/>
        <v>-8958.5980155732195</v>
      </c>
      <c r="Q58" s="15">
        <f t="shared" si="6"/>
        <v>-9227.3559560404155</v>
      </c>
    </row>
    <row r="59" spans="1:17" x14ac:dyDescent="0.25">
      <c r="A59" s="66" t="s">
        <v>91</v>
      </c>
      <c r="B59" s="67"/>
      <c r="C59" s="67"/>
      <c r="D59" s="67"/>
      <c r="H59" s="15">
        <f>-7*F5</f>
        <v>-1456</v>
      </c>
      <c r="I59" s="15">
        <v>-1456</v>
      </c>
      <c r="J59" s="15">
        <v>-1456</v>
      </c>
      <c r="K59" s="15">
        <v>-1456</v>
      </c>
      <c r="L59" s="15">
        <v>-1456</v>
      </c>
      <c r="M59" s="15">
        <v>-1456</v>
      </c>
      <c r="N59" s="15">
        <v>-1456</v>
      </c>
      <c r="O59" s="15">
        <v>-1456</v>
      </c>
      <c r="P59" s="15">
        <v>-1456</v>
      </c>
      <c r="Q59" s="15">
        <v>-1456</v>
      </c>
    </row>
    <row r="60" spans="1:17" x14ac:dyDescent="0.25">
      <c r="A60" s="66" t="s">
        <v>14</v>
      </c>
      <c r="B60" s="67"/>
      <c r="C60" s="67"/>
      <c r="D60" s="67"/>
      <c r="H60" s="15">
        <v>-290140.43</v>
      </c>
      <c r="I60" s="15">
        <v>-304670.84000000003</v>
      </c>
      <c r="J60" s="15">
        <v>-319975</v>
      </c>
      <c r="K60" s="15">
        <v>-336096.85</v>
      </c>
      <c r="L60" s="15">
        <v>-353083.52</v>
      </c>
      <c r="M60" s="15">
        <v>-370984.23</v>
      </c>
      <c r="N60" s="15">
        <v>-389851.73</v>
      </c>
      <c r="O60" s="15">
        <v>-409741.89</v>
      </c>
      <c r="P60" s="15">
        <v>-430713.99</v>
      </c>
      <c r="Q60" s="15">
        <v>-452831.01</v>
      </c>
    </row>
    <row r="61" spans="1:17" x14ac:dyDescent="0.25">
      <c r="A61" s="66" t="s">
        <v>98</v>
      </c>
      <c r="B61" s="67"/>
      <c r="C61" s="67"/>
      <c r="D61" s="67"/>
      <c r="H61" s="65">
        <v>-1091794</v>
      </c>
      <c r="I61" s="65">
        <v>-1870837</v>
      </c>
      <c r="J61" s="65">
        <v>-1870837</v>
      </c>
      <c r="K61" s="65">
        <v>-1870837</v>
      </c>
      <c r="L61" s="65">
        <v>-1870837</v>
      </c>
      <c r="M61" s="65">
        <v>-1870837</v>
      </c>
      <c r="N61" s="65">
        <v>-1870837</v>
      </c>
      <c r="O61" s="65">
        <v>-1870837</v>
      </c>
      <c r="P61" s="65">
        <v>-1870837</v>
      </c>
      <c r="Q61" s="65">
        <v>-1870837</v>
      </c>
    </row>
    <row r="62" spans="1:17" x14ac:dyDescent="0.25">
      <c r="A62" s="68" t="s">
        <v>97</v>
      </c>
      <c r="B62" s="67"/>
      <c r="C62" s="67"/>
      <c r="D62" s="67"/>
      <c r="H62" s="70">
        <f t="shared" ref="H62:Q62" si="7">SUM(H48:H61)</f>
        <v>-2562750.4299999997</v>
      </c>
      <c r="I62" s="70">
        <f t="shared" si="7"/>
        <v>-2459398.7199999997</v>
      </c>
      <c r="J62" s="70">
        <f t="shared" si="7"/>
        <v>-2496953.8464000002</v>
      </c>
      <c r="K62" s="70">
        <f t="shared" si="7"/>
        <v>-2535994.1917920001</v>
      </c>
      <c r="L62" s="70">
        <f t="shared" si="7"/>
        <v>-2576586.9120457601</v>
      </c>
      <c r="M62" s="70">
        <f t="shared" si="7"/>
        <v>-2618801.8538071332</v>
      </c>
      <c r="N62" s="70">
        <f t="shared" si="7"/>
        <v>-2662713.012521347</v>
      </c>
      <c r="O62" s="70">
        <f t="shared" si="7"/>
        <v>-2708398.1409969875</v>
      </c>
      <c r="P62" s="70">
        <f t="shared" si="7"/>
        <v>-2755939.0585268969</v>
      </c>
      <c r="Q62" s="70">
        <f t="shared" si="7"/>
        <v>-2805421.9605827043</v>
      </c>
    </row>
    <row r="63" spans="1:17" x14ac:dyDescent="0.25">
      <c r="A63" s="66"/>
      <c r="B63" s="67"/>
      <c r="C63" s="67"/>
      <c r="D63" s="67"/>
      <c r="H63" s="65"/>
      <c r="I63" s="65"/>
      <c r="J63" s="65"/>
      <c r="K63" s="65"/>
      <c r="L63" s="65"/>
      <c r="M63" s="65"/>
      <c r="N63" s="65"/>
      <c r="O63" s="65"/>
      <c r="P63" s="65"/>
      <c r="Q63" s="65"/>
    </row>
    <row r="64" spans="1:17" x14ac:dyDescent="0.25">
      <c r="A64" s="69" t="s">
        <v>99</v>
      </c>
      <c r="B64" s="67"/>
      <c r="C64" s="67"/>
      <c r="D64" s="67"/>
      <c r="H64" s="65"/>
      <c r="I64" s="65"/>
      <c r="J64" s="65"/>
      <c r="K64" s="65"/>
      <c r="L64" s="65"/>
      <c r="M64" s="65"/>
      <c r="N64" s="65"/>
      <c r="O64" s="65"/>
      <c r="P64" s="65"/>
      <c r="Q64" s="65"/>
    </row>
    <row r="65" spans="1:18" x14ac:dyDescent="0.25">
      <c r="A65" s="66" t="s">
        <v>96</v>
      </c>
      <c r="B65" s="67"/>
      <c r="C65" s="67"/>
      <c r="D65" s="67"/>
      <c r="H65" s="65">
        <v>-52000</v>
      </c>
      <c r="I65" s="65">
        <v>0</v>
      </c>
      <c r="J65" s="65">
        <v>0</v>
      </c>
      <c r="K65" s="65">
        <v>0</v>
      </c>
      <c r="L65" s="65">
        <v>0</v>
      </c>
      <c r="M65" s="65">
        <v>0</v>
      </c>
      <c r="N65" s="65">
        <v>0</v>
      </c>
      <c r="O65" s="65">
        <v>0</v>
      </c>
      <c r="P65" s="65">
        <v>0</v>
      </c>
      <c r="Q65" s="65">
        <v>0</v>
      </c>
    </row>
    <row r="66" spans="1:18" x14ac:dyDescent="0.25">
      <c r="A66" s="66" t="s">
        <v>102</v>
      </c>
      <c r="B66" s="67"/>
      <c r="C66" s="67"/>
      <c r="D66" s="67"/>
      <c r="H66" s="65">
        <v>-10000</v>
      </c>
      <c r="I66" s="65">
        <f>H66*1.03</f>
        <v>-10300</v>
      </c>
      <c r="J66" s="65">
        <f t="shared" ref="J66:Q66" si="8">I66*1.03</f>
        <v>-10609</v>
      </c>
      <c r="K66" s="65">
        <f t="shared" si="8"/>
        <v>-10927.27</v>
      </c>
      <c r="L66" s="65">
        <f t="shared" si="8"/>
        <v>-11255.088100000001</v>
      </c>
      <c r="M66" s="65">
        <f t="shared" si="8"/>
        <v>-11592.740743</v>
      </c>
      <c r="N66" s="65">
        <f t="shared" si="8"/>
        <v>-11940.52296529</v>
      </c>
      <c r="O66" s="65">
        <f t="shared" si="8"/>
        <v>-12298.7386542487</v>
      </c>
      <c r="P66" s="65">
        <f t="shared" si="8"/>
        <v>-12667.700813876161</v>
      </c>
      <c r="Q66" s="65">
        <f t="shared" si="8"/>
        <v>-13047.731838292446</v>
      </c>
    </row>
    <row r="67" spans="1:18" x14ac:dyDescent="0.25">
      <c r="A67" s="20" t="s">
        <v>100</v>
      </c>
      <c r="B67" s="19"/>
      <c r="C67" s="19"/>
      <c r="H67" s="18">
        <v>0</v>
      </c>
      <c r="I67" s="18">
        <v>-935419</v>
      </c>
      <c r="J67" s="15">
        <v>0</v>
      </c>
      <c r="K67" s="15">
        <v>0</v>
      </c>
      <c r="L67" s="15">
        <v>0</v>
      </c>
      <c r="M67" s="15">
        <v>0</v>
      </c>
      <c r="N67" s="15">
        <v>0</v>
      </c>
      <c r="O67" s="15">
        <v>0</v>
      </c>
      <c r="P67" s="15">
        <v>0</v>
      </c>
      <c r="Q67" s="15">
        <v>0</v>
      </c>
    </row>
    <row r="68" spans="1:18" x14ac:dyDescent="0.25">
      <c r="A68" s="20" t="s">
        <v>101</v>
      </c>
      <c r="H68" s="15">
        <v>-320000</v>
      </c>
      <c r="I68" s="15">
        <v>0</v>
      </c>
      <c r="J68" s="15">
        <v>0</v>
      </c>
      <c r="K68" s="15">
        <v>0</v>
      </c>
      <c r="L68" s="15">
        <v>0</v>
      </c>
      <c r="M68" s="15">
        <v>0</v>
      </c>
      <c r="N68" s="15">
        <v>0</v>
      </c>
      <c r="O68" s="15">
        <v>0</v>
      </c>
      <c r="P68" s="15">
        <v>0</v>
      </c>
      <c r="Q68" s="15">
        <v>0</v>
      </c>
    </row>
    <row r="69" spans="1:18" x14ac:dyDescent="0.25">
      <c r="A69" s="20" t="s">
        <v>103</v>
      </c>
      <c r="H69" s="15">
        <v>1133367</v>
      </c>
      <c r="I69" s="15">
        <v>1403987</v>
      </c>
      <c r="J69" s="15">
        <v>0</v>
      </c>
      <c r="K69" s="15">
        <v>0</v>
      </c>
      <c r="L69" s="15">
        <v>0</v>
      </c>
      <c r="M69" s="15">
        <v>0</v>
      </c>
      <c r="N69" s="15">
        <v>0</v>
      </c>
      <c r="O69" s="15">
        <v>0</v>
      </c>
      <c r="P69" s="15">
        <v>0</v>
      </c>
      <c r="Q69" s="15">
        <v>0</v>
      </c>
    </row>
    <row r="70" spans="1:18" x14ac:dyDescent="0.25">
      <c r="A70" s="6" t="s">
        <v>104</v>
      </c>
      <c r="H70" s="17">
        <f t="shared" ref="H70:Q70" si="9">SUM(H65:H69)</f>
        <v>751367</v>
      </c>
      <c r="I70" s="17">
        <f t="shared" si="9"/>
        <v>458268</v>
      </c>
      <c r="J70" s="17">
        <f t="shared" si="9"/>
        <v>-10609</v>
      </c>
      <c r="K70" s="17">
        <f t="shared" si="9"/>
        <v>-10927.27</v>
      </c>
      <c r="L70" s="17">
        <f t="shared" si="9"/>
        <v>-11255.088100000001</v>
      </c>
      <c r="M70" s="17">
        <f t="shared" si="9"/>
        <v>-11592.740743</v>
      </c>
      <c r="N70" s="17">
        <f t="shared" si="9"/>
        <v>-11940.52296529</v>
      </c>
      <c r="O70" s="17">
        <f t="shared" si="9"/>
        <v>-12298.7386542487</v>
      </c>
      <c r="P70" s="17">
        <f t="shared" si="9"/>
        <v>-12667.700813876161</v>
      </c>
      <c r="Q70" s="17">
        <f t="shared" si="9"/>
        <v>-13047.731838292446</v>
      </c>
    </row>
    <row r="72" spans="1:18" x14ac:dyDescent="0.25">
      <c r="A72" s="2" t="s">
        <v>108</v>
      </c>
      <c r="H72" s="9">
        <f>H45+H62+H70</f>
        <v>2929336.7200000007</v>
      </c>
      <c r="I72" s="9">
        <f>I45+I62+I70</f>
        <v>2829704.6010000007</v>
      </c>
      <c r="J72" s="9">
        <f t="shared" ref="J72:Q72" si="10">J45+J62+J70</f>
        <v>2365166.0113840001</v>
      </c>
      <c r="K72" s="9">
        <f t="shared" si="10"/>
        <v>2474210.6951364004</v>
      </c>
      <c r="L72" s="9">
        <f t="shared" si="10"/>
        <v>2531302.4479212086</v>
      </c>
      <c r="M72" s="9">
        <f t="shared" si="10"/>
        <v>2588722.3904781737</v>
      </c>
      <c r="N72" s="9">
        <f t="shared" si="10"/>
        <v>2646435.4372422365</v>
      </c>
      <c r="O72" s="9">
        <f t="shared" si="10"/>
        <v>2704403.5205322132</v>
      </c>
      <c r="P72" s="9">
        <f t="shared" si="10"/>
        <v>2762585.2968463465</v>
      </c>
      <c r="Q72" s="9">
        <f t="shared" si="10"/>
        <v>2820935.8528898666</v>
      </c>
      <c r="R72" s="9">
        <f>SUM(H72:Q72)</f>
        <v>26652802.973430444</v>
      </c>
    </row>
    <row r="74" spans="1:18" x14ac:dyDescent="0.25">
      <c r="H74" s="63"/>
      <c r="I74" s="63"/>
      <c r="J74" s="63"/>
      <c r="K74" s="63"/>
      <c r="L74" s="63"/>
      <c r="M74" s="63"/>
      <c r="N74" s="63"/>
      <c r="O74" s="63"/>
      <c r="P74" s="63"/>
      <c r="Q74" s="63"/>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E31"/>
  <sheetViews>
    <sheetView topLeftCell="A2" workbookViewId="0">
      <selection activeCell="C27" sqref="C27"/>
    </sheetView>
  </sheetViews>
  <sheetFormatPr defaultRowHeight="15" x14ac:dyDescent="0.25"/>
  <cols>
    <col min="1" max="1" width="25.7109375" customWidth="1"/>
    <col min="2" max="2" width="12.7109375" customWidth="1"/>
    <col min="3" max="4" width="15.7109375" customWidth="1"/>
    <col min="5" max="5" width="12.7109375" customWidth="1"/>
    <col min="6" max="6" width="14.28515625" customWidth="1"/>
    <col min="7" max="7" width="15.28515625" customWidth="1"/>
    <col min="8" max="8" width="12.7109375" customWidth="1"/>
    <col min="9" max="9" width="14.28515625" customWidth="1"/>
    <col min="10" max="10" width="15.28515625" customWidth="1"/>
    <col min="11" max="12" width="15.7109375" customWidth="1"/>
    <col min="13" max="13" width="15.28515625" customWidth="1"/>
    <col min="14" max="14" width="15.7109375" customWidth="1"/>
    <col min="15" max="15" width="15.28515625" customWidth="1"/>
    <col min="16" max="17" width="15.7109375" customWidth="1"/>
    <col min="18" max="19" width="15.28515625" customWidth="1"/>
    <col min="20" max="20" width="15.7109375" customWidth="1"/>
    <col min="21" max="25" width="15.28515625" customWidth="1"/>
    <col min="26" max="26" width="15.7109375" customWidth="1"/>
    <col min="27" max="28" width="15.28515625" customWidth="1"/>
    <col min="29" max="29" width="15.7109375" customWidth="1"/>
    <col min="30" max="31" width="15.28515625" customWidth="1"/>
  </cols>
  <sheetData>
    <row r="2" spans="1:31" x14ac:dyDescent="0.25">
      <c r="B2" s="33"/>
      <c r="C2" s="74" t="s">
        <v>45</v>
      </c>
      <c r="D2" s="75"/>
      <c r="F2" s="74" t="s">
        <v>46</v>
      </c>
      <c r="G2" s="75"/>
      <c r="I2" s="74" t="s">
        <v>47</v>
      </c>
      <c r="J2" s="75"/>
      <c r="K2" s="32"/>
      <c r="L2" s="74" t="s">
        <v>48</v>
      </c>
      <c r="M2" s="75"/>
      <c r="N2" s="32"/>
      <c r="P2" s="31" t="s">
        <v>49</v>
      </c>
      <c r="Q2" s="32"/>
      <c r="S2" s="31" t="s">
        <v>50</v>
      </c>
      <c r="T2" s="32"/>
      <c r="V2" s="31" t="s">
        <v>51</v>
      </c>
      <c r="X2" s="74" t="s">
        <v>52</v>
      </c>
      <c r="Y2" s="75"/>
      <c r="Z2" s="32"/>
      <c r="AA2" s="74">
        <v>2028</v>
      </c>
      <c r="AB2" s="75"/>
      <c r="AC2" s="32"/>
      <c r="AD2" s="74">
        <v>2029</v>
      </c>
      <c r="AE2" s="75"/>
    </row>
    <row r="3" spans="1:31" x14ac:dyDescent="0.25">
      <c r="B3" s="33"/>
      <c r="C3" s="32" t="s">
        <v>54</v>
      </c>
      <c r="D3" s="31" t="s">
        <v>53</v>
      </c>
      <c r="F3" s="32" t="s">
        <v>54</v>
      </c>
      <c r="G3" s="31" t="s">
        <v>53</v>
      </c>
      <c r="I3" s="32" t="s">
        <v>54</v>
      </c>
      <c r="J3" s="31" t="s">
        <v>57</v>
      </c>
      <c r="K3" s="32"/>
      <c r="L3" s="32" t="s">
        <v>54</v>
      </c>
      <c r="M3" s="31" t="s">
        <v>57</v>
      </c>
      <c r="N3" s="32"/>
      <c r="O3" s="57" t="s">
        <v>54</v>
      </c>
      <c r="P3" s="56" t="s">
        <v>57</v>
      </c>
      <c r="Q3" s="32"/>
      <c r="S3" s="31"/>
      <c r="T3" s="32"/>
      <c r="V3" s="31"/>
      <c r="X3" s="32"/>
      <c r="Y3" s="31"/>
      <c r="Z3" s="32"/>
      <c r="AA3" s="32"/>
      <c r="AB3" s="31"/>
      <c r="AC3" s="32"/>
      <c r="AD3" s="32"/>
      <c r="AE3" s="31"/>
    </row>
    <row r="4" spans="1:31" ht="25.5" x14ac:dyDescent="0.25">
      <c r="A4" s="22" t="s">
        <v>55</v>
      </c>
      <c r="B4" s="51"/>
      <c r="C4" s="51">
        <v>6033400</v>
      </c>
      <c r="D4" s="58"/>
      <c r="E4" s="38"/>
      <c r="F4" s="41">
        <f>C4*1.0725</f>
        <v>6470821.5</v>
      </c>
      <c r="G4" s="37"/>
      <c r="H4" s="41"/>
      <c r="I4" s="45">
        <f>F4*1.0725</f>
        <v>6939956.0587499999</v>
      </c>
      <c r="J4" s="37"/>
      <c r="K4" s="40"/>
      <c r="L4" s="41">
        <f>I4*1.0725</f>
        <v>7443102.8730093753</v>
      </c>
      <c r="M4" s="37"/>
      <c r="N4" s="40"/>
      <c r="O4" s="42">
        <f>L4*1.0725</f>
        <v>7982727.8313025553</v>
      </c>
      <c r="P4" s="37"/>
      <c r="Q4" s="40"/>
      <c r="R4" s="42">
        <f>O4*1.0725</f>
        <v>8561475.5990719907</v>
      </c>
      <c r="S4" s="43"/>
      <c r="T4" s="53"/>
      <c r="U4" s="42">
        <f>R4*1.0725</f>
        <v>9182182.5800047107</v>
      </c>
      <c r="V4" s="43"/>
      <c r="W4" s="42"/>
      <c r="X4" s="42">
        <f>U4*1.0725</f>
        <v>9847890.8170550521</v>
      </c>
      <c r="Y4" s="43"/>
      <c r="Z4" s="53"/>
      <c r="AA4" s="42">
        <f>X4*1.0725</f>
        <v>10561862.901291544</v>
      </c>
      <c r="AB4" s="43"/>
      <c r="AC4" s="53"/>
      <c r="AD4" s="42">
        <f>AA4*1.0725</f>
        <v>11327597.96163518</v>
      </c>
      <c r="AE4" s="44"/>
    </row>
    <row r="5" spans="1:31" ht="25.5" x14ac:dyDescent="0.25">
      <c r="A5" s="22" t="s">
        <v>56</v>
      </c>
      <c r="B5" s="52"/>
      <c r="C5" s="36"/>
      <c r="D5" s="58">
        <v>19103600</v>
      </c>
      <c r="E5" s="39"/>
      <c r="F5" s="40"/>
      <c r="G5" s="58">
        <f>D5*1.043</f>
        <v>19925054.799999997</v>
      </c>
      <c r="H5" s="45"/>
      <c r="I5" s="40"/>
      <c r="J5" s="58">
        <f>G5*1.043</f>
        <v>20781832.156399995</v>
      </c>
      <c r="K5" s="40"/>
      <c r="L5" s="46"/>
      <c r="M5" s="58">
        <f>J5*1.043</f>
        <v>21675450.939125195</v>
      </c>
      <c r="N5" s="40"/>
      <c r="P5" s="58">
        <f>M5*1.043</f>
        <v>22607495.329507578</v>
      </c>
      <c r="Q5" s="40"/>
      <c r="R5" s="46"/>
      <c r="S5" s="58">
        <f>P5*1.043</f>
        <v>23579617.628676403</v>
      </c>
      <c r="T5" s="40"/>
      <c r="U5" s="46"/>
      <c r="V5" s="58">
        <f>S5*1.043</f>
        <v>24593541.186709486</v>
      </c>
      <c r="W5" s="46"/>
      <c r="X5" s="46"/>
      <c r="Y5" s="58">
        <f>V5*1.043</f>
        <v>25651063.457737993</v>
      </c>
      <c r="Z5" s="40"/>
      <c r="AA5" s="46"/>
      <c r="AB5" s="58">
        <f>Y5*1.043</f>
        <v>26754059.186420724</v>
      </c>
      <c r="AC5" s="40"/>
      <c r="AD5" s="46"/>
      <c r="AE5" s="34">
        <f>AB5*1.043</f>
        <v>27904483.731436811</v>
      </c>
    </row>
    <row r="6" spans="1:31" x14ac:dyDescent="0.25">
      <c r="B6" s="33"/>
      <c r="C6" s="4"/>
      <c r="D6" s="30"/>
      <c r="F6" s="4"/>
      <c r="G6" s="31"/>
      <c r="H6" s="4"/>
      <c r="I6" s="32"/>
      <c r="J6" s="31"/>
      <c r="K6" s="32"/>
      <c r="L6" s="4" t="s">
        <v>54</v>
      </c>
      <c r="M6" s="31" t="s">
        <v>53</v>
      </c>
      <c r="N6" s="32"/>
      <c r="O6" s="4" t="s">
        <v>54</v>
      </c>
      <c r="P6" s="31" t="s">
        <v>53</v>
      </c>
      <c r="Q6" s="32"/>
      <c r="R6" s="4" t="s">
        <v>54</v>
      </c>
      <c r="S6" s="31" t="s">
        <v>53</v>
      </c>
      <c r="T6" s="32"/>
      <c r="U6" s="4" t="s">
        <v>54</v>
      </c>
      <c r="V6" s="31" t="s">
        <v>53</v>
      </c>
      <c r="X6" s="4" t="s">
        <v>54</v>
      </c>
      <c r="Y6" s="31" t="s">
        <v>53</v>
      </c>
      <c r="Z6" s="32"/>
      <c r="AA6" s="4" t="s">
        <v>54</v>
      </c>
      <c r="AB6" s="31" t="s">
        <v>53</v>
      </c>
      <c r="AC6" s="32"/>
      <c r="AD6" s="4" t="s">
        <v>54</v>
      </c>
      <c r="AE6" s="31" t="s">
        <v>53</v>
      </c>
    </row>
    <row r="7" spans="1:31" x14ac:dyDescent="0.25">
      <c r="A7" s="23"/>
      <c r="B7" s="47" t="s">
        <v>44</v>
      </c>
      <c r="D7" s="30"/>
      <c r="E7" s="29" t="s">
        <v>44</v>
      </c>
      <c r="F7" s="33"/>
      <c r="G7" s="30"/>
      <c r="H7" s="29" t="s">
        <v>44</v>
      </c>
      <c r="I7" s="33"/>
      <c r="J7" s="30"/>
      <c r="K7" s="29" t="s">
        <v>44</v>
      </c>
      <c r="M7" s="30"/>
      <c r="N7" s="29" t="s">
        <v>44</v>
      </c>
      <c r="P7" s="30"/>
      <c r="Q7" s="29" t="s">
        <v>44</v>
      </c>
      <c r="S7" s="30"/>
      <c r="T7" s="29" t="s">
        <v>44</v>
      </c>
      <c r="V7" s="30"/>
      <c r="W7" s="29" t="s">
        <v>44</v>
      </c>
      <c r="X7" s="29"/>
      <c r="Y7" s="30"/>
      <c r="Z7" s="29" t="s">
        <v>44</v>
      </c>
      <c r="AB7" s="30"/>
      <c r="AC7" s="29" t="s">
        <v>44</v>
      </c>
      <c r="AE7" s="30"/>
    </row>
    <row r="8" spans="1:31" x14ac:dyDescent="0.25">
      <c r="A8" s="24" t="s">
        <v>23</v>
      </c>
      <c r="B8" s="33"/>
      <c r="D8" s="30"/>
      <c r="F8" s="33"/>
      <c r="G8" s="30"/>
      <c r="I8" s="33"/>
      <c r="J8" s="30"/>
      <c r="M8" s="30"/>
      <c r="P8" s="30"/>
      <c r="S8" s="30"/>
      <c r="V8" s="30"/>
      <c r="Y8" s="30"/>
      <c r="AB8" s="30"/>
      <c r="AE8" s="30"/>
    </row>
    <row r="9" spans="1:31" x14ac:dyDescent="0.25">
      <c r="A9" s="23" t="s">
        <v>24</v>
      </c>
      <c r="B9" s="48">
        <v>4.061E-2</v>
      </c>
      <c r="C9" s="15">
        <f>C4/1000*B9</f>
        <v>245.01637399999998</v>
      </c>
      <c r="D9" s="34">
        <f>D5/1000*-B9</f>
        <v>-775.79719599999999</v>
      </c>
      <c r="E9" s="25">
        <v>4.061E-2</v>
      </c>
      <c r="F9" s="35">
        <f>F4/1000*E9</f>
        <v>262.78006111500002</v>
      </c>
      <c r="G9" s="34">
        <f>G5/1000*-E9</f>
        <v>-809.15647542799991</v>
      </c>
      <c r="H9" s="25">
        <v>4.061E-2</v>
      </c>
      <c r="I9" s="35">
        <f>I4/1000*H9</f>
        <v>281.83161554583751</v>
      </c>
      <c r="J9" s="34">
        <f>J5/1000*-H9</f>
        <v>-843.9502038714038</v>
      </c>
      <c r="K9" s="25">
        <v>4.061E-2</v>
      </c>
      <c r="L9" s="15">
        <f>L4/1000*K9</f>
        <v>302.26440767291069</v>
      </c>
      <c r="M9" s="34">
        <f>M5/1000*-K9</f>
        <v>-880.24006263787419</v>
      </c>
      <c r="N9" s="25">
        <v>4.061E-2</v>
      </c>
      <c r="O9" s="15">
        <f>O4/1000*N9</f>
        <v>324.17857722919678</v>
      </c>
      <c r="P9" s="34">
        <f>P5/1000*-N9</f>
        <v>-918.09038533130285</v>
      </c>
      <c r="Q9" s="25">
        <v>4.061E-2</v>
      </c>
      <c r="R9" s="15">
        <f>R4/1000*Q9</f>
        <v>347.6815240783136</v>
      </c>
      <c r="S9" s="34">
        <f>S5/1000*-Q9</f>
        <v>-957.56827190054867</v>
      </c>
      <c r="T9" s="25">
        <v>4.061E-2</v>
      </c>
      <c r="U9" s="15">
        <f>U4/1000*T9</f>
        <v>372.88843457399128</v>
      </c>
      <c r="V9" s="34">
        <f>V5/1000*-T9</f>
        <v>-998.74370759227213</v>
      </c>
      <c r="W9" s="25">
        <v>4.061E-2</v>
      </c>
      <c r="X9" s="54">
        <f>X4/1000*W9</f>
        <v>399.92284608060572</v>
      </c>
      <c r="Y9" s="34">
        <f>Y5/1000*-W9</f>
        <v>-1041.68968701874</v>
      </c>
      <c r="Z9" s="25">
        <v>4.061E-2</v>
      </c>
      <c r="AA9" s="15">
        <f>AA4/1000*Z9</f>
        <v>428.91725242144963</v>
      </c>
      <c r="AB9" s="34">
        <f>AB5/1000*Z9</f>
        <v>1086.4823435605456</v>
      </c>
      <c r="AC9" s="25">
        <v>4.061E-2</v>
      </c>
      <c r="AD9" s="15">
        <f>AD4/1000*AC9</f>
        <v>460.01375322200465</v>
      </c>
      <c r="AE9" s="34">
        <f>AE5/1000*AC9</f>
        <v>1133.2010843336489</v>
      </c>
    </row>
    <row r="10" spans="1:31" x14ac:dyDescent="0.25">
      <c r="A10" s="23" t="s">
        <v>25</v>
      </c>
      <c r="B10" s="49">
        <v>7.6236999999999999E-2</v>
      </c>
      <c r="C10" s="15">
        <f>C4/1000*B10</f>
        <v>459.96831579999997</v>
      </c>
      <c r="D10" s="34">
        <f>D5/1000*-B10</f>
        <v>-1456.4011532</v>
      </c>
      <c r="E10" s="26">
        <v>7.6236999999999999E-2</v>
      </c>
      <c r="F10" s="35">
        <f>F4/1000*E10</f>
        <v>493.31601869550002</v>
      </c>
      <c r="G10" s="34">
        <f>G5/1000*-E10</f>
        <v>-1519.0264027875999</v>
      </c>
      <c r="H10" s="26">
        <v>7.6236999999999999E-2</v>
      </c>
      <c r="I10" s="35">
        <f>I4/1000*H10</f>
        <v>529.0814300509237</v>
      </c>
      <c r="J10" s="34">
        <f>J5/1000*-H10</f>
        <v>-1584.3445381074664</v>
      </c>
      <c r="K10" s="26">
        <v>7.6236999999999999E-2</v>
      </c>
      <c r="L10" s="15">
        <f>L4/1000*K10</f>
        <v>567.43983372961566</v>
      </c>
      <c r="M10" s="34">
        <f>M5/1000*-K10</f>
        <v>-1652.4713532460876</v>
      </c>
      <c r="N10" s="26">
        <v>7.6236999999999999E-2</v>
      </c>
      <c r="O10" s="15">
        <f>O4/1000*N10</f>
        <v>608.57922167501295</v>
      </c>
      <c r="P10" s="34">
        <f>P5/1000*-N10</f>
        <v>-1723.5276214356693</v>
      </c>
      <c r="Q10" s="26">
        <v>7.6236999999999999E-2</v>
      </c>
      <c r="R10" s="15">
        <f>R4/1000*Q10</f>
        <v>652.7012152464514</v>
      </c>
      <c r="S10" s="34">
        <f>S5/1000*-Q10</f>
        <v>-1797.6393091574027</v>
      </c>
      <c r="T10" s="26">
        <v>7.6236999999999999E-2</v>
      </c>
      <c r="U10" s="15">
        <f>U4/1000*T10</f>
        <v>700.02205335181907</v>
      </c>
      <c r="V10" s="34">
        <f>V5/1000*-T10</f>
        <v>-1874.937799451171</v>
      </c>
      <c r="W10" s="26">
        <v>7.6236999999999999E-2</v>
      </c>
      <c r="X10" s="15">
        <f>X4/1000*W10</f>
        <v>750.77365221982609</v>
      </c>
      <c r="Y10" s="34">
        <f>Y5/1000*-W10</f>
        <v>-1955.5601248275714</v>
      </c>
      <c r="Z10" s="26">
        <v>7.6236999999999999E-2</v>
      </c>
      <c r="AA10" s="15">
        <f>AA4/1000*Z10</f>
        <v>805.20474200576348</v>
      </c>
      <c r="AB10" s="34">
        <f>AB5/1000*Z10</f>
        <v>2039.6492101951567</v>
      </c>
      <c r="AC10" s="26">
        <v>7.6236999999999999E-2</v>
      </c>
      <c r="AD10" s="15">
        <f>AD4/1000*AC10</f>
        <v>863.58208580118117</v>
      </c>
      <c r="AE10" s="34">
        <f>AE5/1000*AC10</f>
        <v>2127.3541262335484</v>
      </c>
    </row>
    <row r="11" spans="1:31" x14ac:dyDescent="0.25">
      <c r="A11" s="23" t="s">
        <v>26</v>
      </c>
      <c r="B11" s="49">
        <v>0.18340600000000001</v>
      </c>
      <c r="C11" s="15">
        <f>C4/1000*B11</f>
        <v>1106.5617603999999</v>
      </c>
      <c r="D11" s="34">
        <f>D5/1000*-B11</f>
        <v>-3503.7148615999999</v>
      </c>
      <c r="E11" s="26">
        <v>0.18340600000000001</v>
      </c>
      <c r="F11" s="35">
        <f>F4/1000*E11</f>
        <v>1186.7874880290001</v>
      </c>
      <c r="G11" s="34">
        <f>G5/1000*-E11</f>
        <v>-3654.3746006488</v>
      </c>
      <c r="H11" s="26">
        <v>0.18340600000000001</v>
      </c>
      <c r="I11" s="35">
        <f>I4/1000*H11</f>
        <v>1272.8295809111025</v>
      </c>
      <c r="J11" s="34">
        <f>J5/1000*-H11</f>
        <v>-3811.5127084766978</v>
      </c>
      <c r="K11" s="26">
        <v>0.18340600000000001</v>
      </c>
      <c r="L11" s="15">
        <f>L4/1000*K11</f>
        <v>1365.1097255271575</v>
      </c>
      <c r="M11" s="34">
        <f>M5/1000*-K11</f>
        <v>-3975.4077549411959</v>
      </c>
      <c r="N11" s="26">
        <v>0.18340600000000001</v>
      </c>
      <c r="O11" s="15">
        <f>O4/1000*N11</f>
        <v>1464.0801806278766</v>
      </c>
      <c r="P11" s="34">
        <f>P5/1000*-N11</f>
        <v>-4146.350288403667</v>
      </c>
      <c r="Q11" s="26">
        <v>0.18340600000000001</v>
      </c>
      <c r="R11" s="15">
        <f>R4/1000*Q11</f>
        <v>1570.2259937233978</v>
      </c>
      <c r="S11" s="34">
        <f>S5/1000*-Q11</f>
        <v>-4324.643350805025</v>
      </c>
      <c r="T11" s="26">
        <v>0.18340600000000001</v>
      </c>
      <c r="U11" s="15">
        <f>U4/1000*T11</f>
        <v>1684.0673782683439</v>
      </c>
      <c r="V11" s="34">
        <f>V5/1000*-T11</f>
        <v>-4510.6030148896398</v>
      </c>
      <c r="W11" s="26">
        <v>0.18340600000000001</v>
      </c>
      <c r="X11" s="15">
        <f>X4/1000*W11</f>
        <v>1806.1622631927992</v>
      </c>
      <c r="Y11" s="34">
        <f>Y5/1000*-W11</f>
        <v>-4704.5589445298947</v>
      </c>
      <c r="Z11" s="26">
        <v>0.18340600000000001</v>
      </c>
      <c r="AA11" s="15">
        <f>AA4/1000*Z11</f>
        <v>1937.1090272742772</v>
      </c>
      <c r="AB11" s="34">
        <f>AB5/1000*Z11</f>
        <v>4906.8549791446794</v>
      </c>
      <c r="AC11" s="26">
        <v>0.18340600000000001</v>
      </c>
      <c r="AD11" s="15">
        <f>AD4/1000*AC11</f>
        <v>2077.5494317516618</v>
      </c>
      <c r="AE11" s="34">
        <f>AE5/1000*AC11</f>
        <v>5117.8497432479007</v>
      </c>
    </row>
    <row r="12" spans="1:31" x14ac:dyDescent="0.25">
      <c r="A12" s="23" t="s">
        <v>39</v>
      </c>
      <c r="B12" s="49">
        <v>0.20699999999999999</v>
      </c>
      <c r="C12" s="15">
        <f>C4/1000*B12</f>
        <v>1248.9137999999998</v>
      </c>
      <c r="D12" s="34">
        <f>D5/1000*-B12</f>
        <v>-3954.4451999999997</v>
      </c>
      <c r="E12" s="26">
        <v>0.20699999999999999</v>
      </c>
      <c r="F12" s="35">
        <f>F4/1000*E12</f>
        <v>1339.4600504999999</v>
      </c>
      <c r="G12" s="34">
        <f>G5/1000*-E12</f>
        <v>-4124.4863435999996</v>
      </c>
      <c r="H12" s="26">
        <v>0.20699999999999999</v>
      </c>
      <c r="I12" s="35">
        <f>I4/1000*H12</f>
        <v>1436.5709041612499</v>
      </c>
      <c r="J12" s="34">
        <f>J5/1000*-H12</f>
        <v>-4301.8392563747993</v>
      </c>
      <c r="K12" s="26">
        <v>0.20699999999999999</v>
      </c>
      <c r="L12" s="15">
        <f>L4/1000*K12</f>
        <v>1540.7222947129405</v>
      </c>
      <c r="M12" s="34">
        <f>M5/1000*-K12</f>
        <v>-4486.8183443989155</v>
      </c>
      <c r="N12" s="26">
        <v>0.20699999999999999</v>
      </c>
      <c r="O12" s="15">
        <f>O4/1000*N12</f>
        <v>1652.4246610796288</v>
      </c>
      <c r="P12" s="34">
        <f>P5/1000*-N12</f>
        <v>-4679.7515332080684</v>
      </c>
      <c r="Q12" s="26">
        <v>0.20699999999999999</v>
      </c>
      <c r="R12" s="15">
        <f>R4/1000*Q12</f>
        <v>1772.2254490079022</v>
      </c>
      <c r="S12" s="34">
        <f>S5/1000*-Q12</f>
        <v>-4880.9808491360154</v>
      </c>
      <c r="T12" s="26">
        <v>0.20699999999999999</v>
      </c>
      <c r="U12" s="15">
        <f>U4/1000*T12</f>
        <v>1900.7117940609749</v>
      </c>
      <c r="V12" s="34">
        <f>V5/1000*-T12</f>
        <v>-5090.8630256488632</v>
      </c>
      <c r="W12" s="26">
        <v>0.20699999999999999</v>
      </c>
      <c r="X12" s="15">
        <f>X4/1000*W12</f>
        <v>2038.5133991303958</v>
      </c>
      <c r="Y12" s="34">
        <f>Y5/1000*-W12</f>
        <v>-5309.7701357517644</v>
      </c>
      <c r="Z12" s="26">
        <v>0.20699999999999999</v>
      </c>
      <c r="AA12" s="15">
        <f>AA4/1000*Z12</f>
        <v>2186.3056205673497</v>
      </c>
      <c r="AB12" s="34">
        <f>AB5/1000*Z12</f>
        <v>5538.0902515890893</v>
      </c>
      <c r="AC12" s="26">
        <v>0.20699999999999999</v>
      </c>
      <c r="AD12" s="15">
        <f>AD4/1000*AC12</f>
        <v>2344.8127780584819</v>
      </c>
      <c r="AE12" s="34">
        <f>AE5/1000*AC12</f>
        <v>5776.2281324074202</v>
      </c>
    </row>
    <row r="13" spans="1:31" x14ac:dyDescent="0.25">
      <c r="A13" s="23" t="s">
        <v>40</v>
      </c>
      <c r="B13" s="49">
        <v>0.43748399999999998</v>
      </c>
      <c r="C13" s="15">
        <f>C4/1000*B13</f>
        <v>2639.5159655999996</v>
      </c>
      <c r="D13" s="34">
        <f>D5/1000*-B13</f>
        <v>-8357.519342399999</v>
      </c>
      <c r="E13" s="26">
        <v>0.43748399999999998</v>
      </c>
      <c r="F13" s="35">
        <f>F4/1000*E13</f>
        <v>2830.8808731059999</v>
      </c>
      <c r="G13" s="34">
        <f>G5/1000*-E13</f>
        <v>-8716.892674123199</v>
      </c>
      <c r="H13" s="26">
        <v>0.43748399999999998</v>
      </c>
      <c r="I13" s="35">
        <f>I4/1000*H13</f>
        <v>3036.119736406185</v>
      </c>
      <c r="J13" s="34">
        <f>J5/1000*-H13</f>
        <v>-9091.7190591104954</v>
      </c>
      <c r="K13" s="26">
        <v>0.43748399999999998</v>
      </c>
      <c r="L13" s="15">
        <f>L4/1000*K13</f>
        <v>3256.2384172956331</v>
      </c>
      <c r="M13" s="34">
        <f>M5/1000*-K13</f>
        <v>-9482.6629786522462</v>
      </c>
      <c r="N13" s="26">
        <v>0.43748399999999998</v>
      </c>
      <c r="O13" s="15">
        <f>O4/1000*N13</f>
        <v>3492.315702549567</v>
      </c>
      <c r="P13" s="34">
        <f>P5/1000*-N13</f>
        <v>-9890.4174867342936</v>
      </c>
      <c r="Q13" s="26">
        <v>0.43748399999999998</v>
      </c>
      <c r="R13" s="15">
        <f>R4/1000*Q13</f>
        <v>3745.5085909844111</v>
      </c>
      <c r="S13" s="34">
        <f>S5/1000*-Q13</f>
        <v>-10315.705438663867</v>
      </c>
      <c r="T13" s="26">
        <v>0.43748399999999998</v>
      </c>
      <c r="U13" s="15">
        <f>U4/1000*T13</f>
        <v>4017.0579638307804</v>
      </c>
      <c r="V13" s="34">
        <f>V5/1000*-T13</f>
        <v>-10759.280772526412</v>
      </c>
      <c r="W13" s="26">
        <v>0.43748399999999998</v>
      </c>
      <c r="X13" s="15">
        <f>X4/1000*W13</f>
        <v>4308.2946662085124</v>
      </c>
      <c r="Y13" s="34">
        <f>Y5/1000*-W13</f>
        <v>-11221.929845745048</v>
      </c>
      <c r="Z13" s="26">
        <v>0.43748399999999998</v>
      </c>
      <c r="AA13" s="15">
        <f>AA4/1000*Z13</f>
        <v>4620.6460295086299</v>
      </c>
      <c r="AB13" s="34">
        <f>AB5/1000*Z13</f>
        <v>11704.472829112083</v>
      </c>
      <c r="AC13" s="26">
        <v>0.43748399999999998</v>
      </c>
      <c r="AD13" s="15">
        <f>AD4/1000*AC13</f>
        <v>4955.6428666480051</v>
      </c>
      <c r="AE13" s="34">
        <f>AE5/1000*AC13</f>
        <v>12207.765160763902</v>
      </c>
    </row>
    <row r="14" spans="1:31" x14ac:dyDescent="0.25">
      <c r="A14" s="23" t="s">
        <v>27</v>
      </c>
      <c r="B14" s="50">
        <v>0.5</v>
      </c>
      <c r="C14" s="15">
        <f>C4/1000*B14</f>
        <v>3016.7</v>
      </c>
      <c r="D14" s="34">
        <f>D5/1000*-B14</f>
        <v>-9551.7999999999993</v>
      </c>
      <c r="E14" s="27">
        <v>0.5</v>
      </c>
      <c r="F14" s="35">
        <f>F4/1000*E14</f>
        <v>3235.41075</v>
      </c>
      <c r="G14" s="34">
        <f>G5/1000*-E14</f>
        <v>-9962.527399999999</v>
      </c>
      <c r="H14" s="27">
        <v>0.5</v>
      </c>
      <c r="I14" s="35">
        <f>I4/1000*H14</f>
        <v>3469.978029375</v>
      </c>
      <c r="J14" s="34">
        <f>J5/1000*-H14</f>
        <v>-10390.916078199998</v>
      </c>
      <c r="K14" s="27">
        <v>0.5</v>
      </c>
      <c r="L14" s="15">
        <f>L4/1000*K14</f>
        <v>3721.5514365046874</v>
      </c>
      <c r="M14" s="34">
        <f>M5/1000*-K14</f>
        <v>-10837.725469562598</v>
      </c>
      <c r="N14" s="27">
        <v>0.5</v>
      </c>
      <c r="O14" s="15">
        <f>O4/1000*N14</f>
        <v>3991.3639156512777</v>
      </c>
      <c r="P14" s="34">
        <f>P5/1000*-N14</f>
        <v>-11303.74766475379</v>
      </c>
      <c r="Q14" s="27">
        <v>0.5</v>
      </c>
      <c r="R14" s="15">
        <f>R4/1000*Q14</f>
        <v>4280.7377995359957</v>
      </c>
      <c r="S14" s="34">
        <f>S5/1000*-Q14</f>
        <v>-11789.808814338201</v>
      </c>
      <c r="T14" s="27">
        <v>0.5</v>
      </c>
      <c r="U14" s="15">
        <f>U4/1000*T14</f>
        <v>4591.091290002355</v>
      </c>
      <c r="V14" s="34">
        <f>V5/1000*-T14</f>
        <v>-12296.770593354742</v>
      </c>
      <c r="W14" s="27">
        <v>0.5</v>
      </c>
      <c r="X14" s="55">
        <f>X4/1000*W14</f>
        <v>4923.9454085275265</v>
      </c>
      <c r="Y14" s="34">
        <f>Y5/1000*-W14</f>
        <v>-12825.531728868997</v>
      </c>
      <c r="Z14" s="27">
        <v>0.5</v>
      </c>
      <c r="AA14" s="15">
        <f>AA4/1000*Z14</f>
        <v>5280.9314506457722</v>
      </c>
      <c r="AB14" s="34">
        <f>AB5/1000*Z14</f>
        <v>13377.029593210362</v>
      </c>
      <c r="AC14" s="27">
        <v>0.5</v>
      </c>
      <c r="AD14" s="15">
        <f>AD4/1000*AC14</f>
        <v>5663.7989808175898</v>
      </c>
      <c r="AE14" s="34">
        <f>AE5/1000*AC14</f>
        <v>13952.241865718406</v>
      </c>
    </row>
    <row r="15" spans="1:31" x14ac:dyDescent="0.25">
      <c r="A15" s="23" t="s">
        <v>41</v>
      </c>
      <c r="B15" s="50">
        <v>0.70960800000000002</v>
      </c>
      <c r="C15" s="15">
        <f>C4/1000*B15</f>
        <v>4281.3489072000002</v>
      </c>
      <c r="D15" s="34">
        <f>D5/1000*-B15</f>
        <v>-13556.0673888</v>
      </c>
      <c r="E15" s="27">
        <v>0.70960800000000002</v>
      </c>
      <c r="F15" s="35">
        <f>F4/1000*E15</f>
        <v>4591.7467029720001</v>
      </c>
      <c r="G15" s="34">
        <f>G5/1000*-E15</f>
        <v>-14138.978286518399</v>
      </c>
      <c r="H15" s="27">
        <v>0.70960800000000002</v>
      </c>
      <c r="I15" s="35">
        <f>I4/1000*H15</f>
        <v>4924.6483389374698</v>
      </c>
      <c r="J15" s="34">
        <f>J5/1000*-H15</f>
        <v>-14746.954352838689</v>
      </c>
      <c r="K15" s="27">
        <v>0.70960800000000002</v>
      </c>
      <c r="L15" s="15">
        <f>L4/1000*K15</f>
        <v>5281.6853435104367</v>
      </c>
      <c r="M15" s="34">
        <f>M5/1000*-K15</f>
        <v>-15381.073390010752</v>
      </c>
      <c r="N15" s="27">
        <v>0.70960800000000002</v>
      </c>
      <c r="O15" s="15">
        <f>O4/1000*N15</f>
        <v>5664.6075309149437</v>
      </c>
      <c r="P15" s="34">
        <f>P5/1000*-N15</f>
        <v>-16042.459545781214</v>
      </c>
      <c r="Q15" s="27">
        <v>0.70960800000000002</v>
      </c>
      <c r="R15" s="15">
        <f>R4/1000*Q15</f>
        <v>6075.2915769062774</v>
      </c>
      <c r="S15" s="34">
        <f>S5/1000*-Q15</f>
        <v>-16732.285306249803</v>
      </c>
      <c r="T15" s="27">
        <v>0.70960800000000002</v>
      </c>
      <c r="U15" s="15">
        <f>U4/1000*T15</f>
        <v>6515.7502162319824</v>
      </c>
      <c r="V15" s="34">
        <f>V5/1000*-T15</f>
        <v>-17451.773574418545</v>
      </c>
      <c r="W15" s="27">
        <v>0.70960800000000002</v>
      </c>
      <c r="X15" s="55">
        <f>X4/1000*W15</f>
        <v>6988.1421069088019</v>
      </c>
      <c r="Y15" s="34">
        <f>Y5/1000*-W15</f>
        <v>-18202.199838118544</v>
      </c>
      <c r="Z15" s="27">
        <v>0.70960800000000002</v>
      </c>
      <c r="AA15" s="15">
        <f>AA4/1000*Z15</f>
        <v>7494.7824096596905</v>
      </c>
      <c r="AB15" s="34">
        <f>AB5/1000*Z15</f>
        <v>18984.894431157638</v>
      </c>
      <c r="AC15" s="27">
        <v>0.70960800000000002</v>
      </c>
      <c r="AD15" s="15">
        <f>AD4/1000*AC15</f>
        <v>8038.1541343600165</v>
      </c>
      <c r="AE15" s="34">
        <f>AE5/1000*AC15</f>
        <v>19801.244891697414</v>
      </c>
    </row>
    <row r="16" spans="1:31" x14ac:dyDescent="0.25">
      <c r="A16" s="28" t="s">
        <v>28</v>
      </c>
      <c r="B16" s="49">
        <v>1.0333509999999999</v>
      </c>
      <c r="C16" s="15">
        <f>C4/1000*B16</f>
        <v>6234.6199233999987</v>
      </c>
      <c r="D16" s="34">
        <f>D5/1000*-B16</f>
        <v>-19740.724163599996</v>
      </c>
      <c r="E16" s="26">
        <v>1.0333509999999999</v>
      </c>
      <c r="F16" s="35">
        <f>F4/1000*E16</f>
        <v>6686.6298678464991</v>
      </c>
      <c r="G16" s="34">
        <f>G5/1000*-E16</f>
        <v>-20589.575302634796</v>
      </c>
      <c r="H16" s="26">
        <v>1.0333509999999999</v>
      </c>
      <c r="I16" s="35">
        <f>I4/1000*H16</f>
        <v>7171.4105332653708</v>
      </c>
      <c r="J16" s="34">
        <f>J5/1000*-H16</f>
        <v>-21474.92704064809</v>
      </c>
      <c r="K16" s="26">
        <v>1.0333509999999999</v>
      </c>
      <c r="L16" s="15">
        <f>L4/1000*K16</f>
        <v>7691.3377969271096</v>
      </c>
      <c r="M16" s="34">
        <f>M5/1000*-K16</f>
        <v>-22398.348903395959</v>
      </c>
      <c r="N16" s="26">
        <v>1.0333509999999999</v>
      </c>
      <c r="O16" s="15">
        <f>O4/1000*N16</f>
        <v>8248.9597872043269</v>
      </c>
      <c r="P16" s="34">
        <f>P5/1000*-N16</f>
        <v>-23361.477906241984</v>
      </c>
      <c r="Q16" s="26">
        <v>1.0333509999999999</v>
      </c>
      <c r="R16" s="15">
        <f>R4/1000*Q16</f>
        <v>8847.0093717766413</v>
      </c>
      <c r="S16" s="34">
        <f>S5/1000*-Q16</f>
        <v>-24366.021456210387</v>
      </c>
      <c r="T16" s="26">
        <v>1.0333509999999999</v>
      </c>
      <c r="U16" s="15">
        <f>U4/1000*T16</f>
        <v>9488.4175512304464</v>
      </c>
      <c r="V16" s="34">
        <f>V5/1000*-T16</f>
        <v>-25413.760378827432</v>
      </c>
      <c r="W16" s="26">
        <v>1.0333509999999999</v>
      </c>
      <c r="X16" s="15">
        <f>X4/1000*W16</f>
        <v>10176.327823694655</v>
      </c>
      <c r="Y16" s="34">
        <f>Y5/1000*-W16</f>
        <v>-26506.552075117012</v>
      </c>
      <c r="Z16" s="26">
        <v>1.0333509999999999</v>
      </c>
      <c r="AA16" s="15">
        <f>AA4/1000*Z16</f>
        <v>10914.111590912518</v>
      </c>
      <c r="AB16" s="34">
        <f>AB5/1000*Z16</f>
        <v>27646.333814347039</v>
      </c>
      <c r="AC16" s="26">
        <v>1.0333509999999999</v>
      </c>
      <c r="AD16" s="15">
        <f>AD4/1000*AC16</f>
        <v>11705.384681253674</v>
      </c>
      <c r="AE16" s="34">
        <f>AE5/1000*AC16</f>
        <v>28835.12616836396</v>
      </c>
    </row>
    <row r="17" spans="1:31" x14ac:dyDescent="0.25">
      <c r="A17" s="23" t="s">
        <v>29</v>
      </c>
      <c r="B17" s="49">
        <v>1.0850489999999999</v>
      </c>
      <c r="C17" s="15">
        <f>C4/1000*B17</f>
        <v>6546.5346365999994</v>
      </c>
      <c r="D17" s="34">
        <f>D5/1000*-B17</f>
        <v>-20728.342076399997</v>
      </c>
      <c r="E17" s="26">
        <v>1.0850489999999999</v>
      </c>
      <c r="F17" s="35">
        <f>F4/1000*E17</f>
        <v>7021.1583977534992</v>
      </c>
      <c r="G17" s="34">
        <f>G5/1000*-E17</f>
        <v>-21619.660785685195</v>
      </c>
      <c r="H17" s="26">
        <v>1.0850489999999999</v>
      </c>
      <c r="I17" s="35">
        <f>I4/1000*H17</f>
        <v>7530.1923815906284</v>
      </c>
      <c r="J17" s="34">
        <f>J5/1000*-H17</f>
        <v>-22549.306199469658</v>
      </c>
      <c r="K17" s="26">
        <v>1.0850489999999999</v>
      </c>
      <c r="L17" s="15">
        <f>L4/1000*K17</f>
        <v>8076.1313292559489</v>
      </c>
      <c r="M17" s="34">
        <f>M5/1000*-K17</f>
        <v>-23518.926366046853</v>
      </c>
      <c r="N17" s="26">
        <v>1.0850489999999999</v>
      </c>
      <c r="O17" s="15">
        <f>O4/1000*N17</f>
        <v>8661.6508506270056</v>
      </c>
      <c r="P17" s="34">
        <f>P5/1000*-N17</f>
        <v>-24530.240199786869</v>
      </c>
      <c r="Q17" s="26">
        <v>1.0850489999999999</v>
      </c>
      <c r="R17" s="15">
        <f>R4/1000*Q17</f>
        <v>9289.6205372974655</v>
      </c>
      <c r="S17" s="34">
        <f>S5/1000*-Q17</f>
        <v>-25585.0405283777</v>
      </c>
      <c r="T17" s="26">
        <v>1.0850489999999999</v>
      </c>
      <c r="U17" s="15">
        <f>U4/1000*T17</f>
        <v>9963.11802625153</v>
      </c>
      <c r="V17" s="34">
        <f>V5/1000*-T17</f>
        <v>-26685.197271097939</v>
      </c>
      <c r="W17" s="26">
        <v>1.0850489999999999</v>
      </c>
      <c r="X17" s="15">
        <f>X4/1000*W17</f>
        <v>10685.444083154767</v>
      </c>
      <c r="Y17" s="34">
        <f>Y5/1000*-W17</f>
        <v>-27832.66075375515</v>
      </c>
      <c r="Z17" s="26">
        <v>1.0850489999999999</v>
      </c>
      <c r="AA17" s="15">
        <f>AA4/1000*Z17</f>
        <v>11460.138779183488</v>
      </c>
      <c r="AB17" s="34">
        <f>AB5/1000*Z17</f>
        <v>29029.465166166618</v>
      </c>
      <c r="AC17" s="26">
        <v>1.0850489999999999</v>
      </c>
      <c r="AD17" s="15">
        <f>AD4/1000*AC17</f>
        <v>12290.998840674289</v>
      </c>
      <c r="AE17" s="34">
        <f>AE5/1000*AC17</f>
        <v>30277.732168311781</v>
      </c>
    </row>
    <row r="18" spans="1:31" x14ac:dyDescent="0.25">
      <c r="A18" s="23" t="s">
        <v>42</v>
      </c>
      <c r="B18" s="49">
        <v>1.324552</v>
      </c>
      <c r="C18" s="15">
        <f>C4/1000*B18</f>
        <v>7991.5520367999989</v>
      </c>
      <c r="D18" s="34">
        <f>D5/1000*-B18</f>
        <v>-25303.711587199996</v>
      </c>
      <c r="E18" s="26">
        <v>1.324552</v>
      </c>
      <c r="F18" s="35">
        <f>F4/1000*E18</f>
        <v>8570.9395594679991</v>
      </c>
      <c r="G18" s="34">
        <f>G5/1000*-E18</f>
        <v>-26391.771185449597</v>
      </c>
      <c r="H18" s="26">
        <v>1.324552</v>
      </c>
      <c r="I18" s="35">
        <f>I4/1000*H18</f>
        <v>9192.3326775294299</v>
      </c>
      <c r="J18" s="34">
        <f>J5/1000*-H18</f>
        <v>-27526.617346423925</v>
      </c>
      <c r="K18" s="26">
        <v>1.324552</v>
      </c>
      <c r="L18" s="15">
        <f>L4/1000*K18</f>
        <v>9858.7767966503125</v>
      </c>
      <c r="M18" s="34">
        <f>M5/1000*-K18</f>
        <v>-28710.261892320155</v>
      </c>
      <c r="N18" s="26">
        <v>1.324552</v>
      </c>
      <c r="O18" s="15">
        <f>O4/1000*N18</f>
        <v>10573.538114407462</v>
      </c>
      <c r="P18" s="34">
        <f>P5/1000*-N18</f>
        <v>-29944.803153689922</v>
      </c>
      <c r="Q18" s="26">
        <v>1.324552</v>
      </c>
      <c r="R18" s="15">
        <f>R4/1000*Q18</f>
        <v>11340.119627702004</v>
      </c>
      <c r="S18" s="34">
        <f>S5/1000*-Q18</f>
        <v>-31232.429689298584</v>
      </c>
      <c r="T18" s="26">
        <v>1.324552</v>
      </c>
      <c r="U18" s="15">
        <f>U4/1000*T18</f>
        <v>12162.278300710399</v>
      </c>
      <c r="V18" s="34">
        <f>V5/1000*-T18</f>
        <v>-32575.424165938421</v>
      </c>
      <c r="W18" s="26">
        <v>1.324552</v>
      </c>
      <c r="X18" s="15">
        <f>X4/1000*W18</f>
        <v>13044.043477511905</v>
      </c>
      <c r="Y18" s="34">
        <f>Y5/1000*-W18</f>
        <v>-33976.167405073771</v>
      </c>
      <c r="Z18" s="26">
        <v>1.324552</v>
      </c>
      <c r="AA18" s="15">
        <f>AA4/1000*Z18</f>
        <v>13989.736629631518</v>
      </c>
      <c r="AB18" s="34">
        <f>AB5/1000*Z18</f>
        <v>35437.142603491942</v>
      </c>
      <c r="AC18" s="26">
        <v>1.324552</v>
      </c>
      <c r="AD18" s="15">
        <f>AD4/1000*AC18</f>
        <v>15003.9925352798</v>
      </c>
      <c r="AE18" s="34">
        <f>AE5/1000*AC18</f>
        <v>36960.939735442094</v>
      </c>
    </row>
    <row r="19" spans="1:31" x14ac:dyDescent="0.25">
      <c r="A19" s="23" t="s">
        <v>30</v>
      </c>
      <c r="B19" s="49">
        <v>1.9068639999999999</v>
      </c>
      <c r="C19" s="15">
        <f>C4/1000*B19</f>
        <v>11504.873257599998</v>
      </c>
      <c r="D19" s="34">
        <f>D5/1000*-B19</f>
        <v>-36427.967110399994</v>
      </c>
      <c r="E19" s="26">
        <v>1.9068639999999999</v>
      </c>
      <c r="F19" s="35">
        <f>F4/1000*E19</f>
        <v>12338.976568775999</v>
      </c>
      <c r="G19" s="34">
        <f>G5/1000*-E19</f>
        <v>-37994.369696147194</v>
      </c>
      <c r="H19" s="26">
        <v>1.9068639999999999</v>
      </c>
      <c r="I19" s="35">
        <f>I4/1000*H19</f>
        <v>13233.552370012259</v>
      </c>
      <c r="J19" s="34">
        <f>J5/1000*-H19</f>
        <v>-39628.127593081517</v>
      </c>
      <c r="K19" s="26">
        <v>1.9068639999999999</v>
      </c>
      <c r="L19" s="15">
        <f>L4/1000*K19</f>
        <v>14192.984916838148</v>
      </c>
      <c r="M19" s="34">
        <f>M5/1000*-K19</f>
        <v>-41332.137079584027</v>
      </c>
      <c r="N19" s="26">
        <v>1.9068639999999999</v>
      </c>
      <c r="O19" s="15">
        <f>O4/1000*N19</f>
        <v>15221.976323308914</v>
      </c>
      <c r="P19" s="34">
        <f>P5/1000*-N19</f>
        <v>-43109.418974006141</v>
      </c>
      <c r="Q19" s="26">
        <v>1.9068639999999999</v>
      </c>
      <c r="R19" s="15">
        <f>R4/1000*Q19</f>
        <v>16325.569606748813</v>
      </c>
      <c r="S19" s="34">
        <f>S5/1000*-Q19</f>
        <v>-44963.123989888394</v>
      </c>
      <c r="T19" s="26">
        <v>1.9068639999999999</v>
      </c>
      <c r="U19" s="15">
        <f>U4/1000*T19</f>
        <v>17509.173403238099</v>
      </c>
      <c r="V19" s="34">
        <f>V5/1000*-T19</f>
        <v>-46896.53832145359</v>
      </c>
      <c r="W19" s="26">
        <v>1.9068639999999999</v>
      </c>
      <c r="X19" s="15">
        <f>X4/1000*W19</f>
        <v>18778.588474972865</v>
      </c>
      <c r="Y19" s="34">
        <f>Y5/1000*-W19</f>
        <v>-48913.089469276099</v>
      </c>
      <c r="Z19" s="26">
        <v>1.9068639999999999</v>
      </c>
      <c r="AA19" s="15">
        <f>AA4/1000*Z19</f>
        <v>20140.036139408399</v>
      </c>
      <c r="AB19" s="34">
        <f>AB5/1000*Z19</f>
        <v>51016.352316454962</v>
      </c>
      <c r="AC19" s="26">
        <v>1.9068639999999999</v>
      </c>
      <c r="AD19" s="15">
        <f>AD4/1000*AC19</f>
        <v>21600.188759515506</v>
      </c>
      <c r="AE19" s="34">
        <f>AE5/1000*AC19</f>
        <v>53210.05546606252</v>
      </c>
    </row>
    <row r="20" spans="1:31" x14ac:dyDescent="0.25">
      <c r="A20" s="23" t="s">
        <v>31</v>
      </c>
      <c r="B20" s="49">
        <v>0</v>
      </c>
      <c r="C20" s="15">
        <f>C4/1000*B20</f>
        <v>0</v>
      </c>
      <c r="D20" s="34">
        <v>0</v>
      </c>
      <c r="E20" s="26">
        <v>0</v>
      </c>
      <c r="F20" s="35">
        <f>0</f>
        <v>0</v>
      </c>
      <c r="G20" s="34">
        <v>0</v>
      </c>
      <c r="H20" s="26">
        <v>0</v>
      </c>
      <c r="I20" s="35">
        <v>0</v>
      </c>
      <c r="J20" s="34">
        <v>0</v>
      </c>
      <c r="K20" s="26">
        <v>0</v>
      </c>
      <c r="L20" s="15">
        <f>L4/1000*K20</f>
        <v>0</v>
      </c>
      <c r="M20" s="34">
        <v>0</v>
      </c>
      <c r="N20" s="26">
        <v>0</v>
      </c>
      <c r="O20" s="15">
        <v>0</v>
      </c>
      <c r="P20" s="34">
        <v>0</v>
      </c>
      <c r="Q20" s="26">
        <v>0</v>
      </c>
      <c r="R20" s="15">
        <v>0</v>
      </c>
      <c r="S20" s="34">
        <v>0</v>
      </c>
      <c r="T20" s="26">
        <v>0</v>
      </c>
      <c r="U20" s="15">
        <v>0</v>
      </c>
      <c r="V20" s="34">
        <v>0</v>
      </c>
      <c r="W20" s="26">
        <v>0</v>
      </c>
      <c r="X20" s="15">
        <v>0</v>
      </c>
      <c r="Y20" s="34">
        <v>0</v>
      </c>
      <c r="Z20" s="26">
        <v>0</v>
      </c>
      <c r="AA20" s="15">
        <v>0</v>
      </c>
      <c r="AB20" s="34">
        <v>0</v>
      </c>
      <c r="AC20" s="26">
        <v>0</v>
      </c>
      <c r="AD20" s="15">
        <v>0</v>
      </c>
      <c r="AE20" s="34">
        <v>0</v>
      </c>
    </row>
    <row r="21" spans="1:31" x14ac:dyDescent="0.25">
      <c r="A21" s="23" t="s">
        <v>32</v>
      </c>
      <c r="B21" s="49">
        <v>0.18218300000000001</v>
      </c>
      <c r="C21" s="15">
        <f>C4/1000*B21</f>
        <v>1099.1829121999999</v>
      </c>
      <c r="D21" s="34">
        <f>D5/1000*-B21</f>
        <v>-3480.3511588000001</v>
      </c>
      <c r="E21" s="26">
        <v>0.18218300000000001</v>
      </c>
      <c r="F21" s="35">
        <f>F4/1000*E21</f>
        <v>1178.8736733345002</v>
      </c>
      <c r="G21" s="34">
        <f>G5/1000*-E21</f>
        <v>-3630.0062586283998</v>
      </c>
      <c r="H21" s="26">
        <v>0.18218300000000001</v>
      </c>
      <c r="I21" s="35">
        <f>I4/1000*H21</f>
        <v>1264.3420146512512</v>
      </c>
      <c r="J21" s="34">
        <f>J5/1000*-H21</f>
        <v>-3786.0965277494206</v>
      </c>
      <c r="K21" s="26">
        <v>0.18218300000000001</v>
      </c>
      <c r="L21" s="15">
        <f>L4/1000*K21</f>
        <v>1356.0068107134671</v>
      </c>
      <c r="M21" s="34">
        <f>M5/1000*-K21</f>
        <v>-3948.8986784426456</v>
      </c>
      <c r="N21" s="26">
        <v>0.18218300000000001</v>
      </c>
      <c r="O21" s="15">
        <f>O4/1000*N21</f>
        <v>1454.3173044901935</v>
      </c>
      <c r="P21" s="34">
        <f>P5/1000*-N21</f>
        <v>-4118.7013216156793</v>
      </c>
      <c r="Q21" s="26">
        <v>0.18218300000000001</v>
      </c>
      <c r="R21" s="15">
        <f>R4/1000*Q21</f>
        <v>1559.7553090657327</v>
      </c>
      <c r="S21" s="34">
        <f>S5/1000*-Q21</f>
        <v>-4295.8054784451533</v>
      </c>
      <c r="T21" s="26">
        <v>0.18218300000000001</v>
      </c>
      <c r="U21" s="15">
        <f>U4/1000*T21</f>
        <v>1672.8375689729983</v>
      </c>
      <c r="V21" s="34">
        <f>V5/1000*-T21</f>
        <v>-4480.5251140182945</v>
      </c>
      <c r="W21" s="26">
        <v>0.18218300000000001</v>
      </c>
      <c r="X21" s="15">
        <f>X4/1000*W21</f>
        <v>1794.1182927235409</v>
      </c>
      <c r="Y21" s="34">
        <f>Y5/1000*-W21</f>
        <v>-4673.1876939210815</v>
      </c>
      <c r="Z21" s="26">
        <v>0.18218300000000001</v>
      </c>
      <c r="AA21" s="15">
        <f>AA4/1000*Z21</f>
        <v>1924.1918689459976</v>
      </c>
      <c r="AB21" s="34">
        <f>AB5/1000*Z21</f>
        <v>4874.1347647596867</v>
      </c>
      <c r="AC21" s="26">
        <v>0.18218300000000001</v>
      </c>
      <c r="AD21" s="15">
        <f>AD4/1000*AC21</f>
        <v>2063.6957794445821</v>
      </c>
      <c r="AE21" s="34">
        <f>AE5/1000*AC21</f>
        <v>5083.7225596443532</v>
      </c>
    </row>
    <row r="22" spans="1:31" x14ac:dyDescent="0.25">
      <c r="A22" s="23" t="s">
        <v>33</v>
      </c>
      <c r="B22" s="49">
        <v>0.97295799999999999</v>
      </c>
      <c r="C22" s="15">
        <f>C4/1000*B22</f>
        <v>5870.2447972</v>
      </c>
      <c r="D22" s="34">
        <f>D5/1000*-B22</f>
        <v>-18587.000448799998</v>
      </c>
      <c r="E22" s="26">
        <v>0.97295799999999999</v>
      </c>
      <c r="F22" s="35">
        <f>F4/1000*E22</f>
        <v>6295.8375449969999</v>
      </c>
      <c r="G22" s="34">
        <f>G5/1000*-E22</f>
        <v>-19386.241468098397</v>
      </c>
      <c r="H22" s="26">
        <v>0.97295799999999999</v>
      </c>
      <c r="I22" s="35">
        <f>I4/1000*H22</f>
        <v>6752.2857670092826</v>
      </c>
      <c r="J22" s="34">
        <f>J5/1000*-H22</f>
        <v>-20219.849851226627</v>
      </c>
      <c r="K22" s="26">
        <v>0.97295799999999999</v>
      </c>
      <c r="L22" s="15">
        <f>L4/1000*K22</f>
        <v>7241.8264851174554</v>
      </c>
      <c r="M22" s="34">
        <f>M5/1000*-K22</f>
        <v>-21089.303394829371</v>
      </c>
      <c r="N22" s="26">
        <v>0.97295799999999999</v>
      </c>
      <c r="O22" s="15">
        <f>O4/1000*N22</f>
        <v>7766.8589052884718</v>
      </c>
      <c r="P22" s="34">
        <f>P5/1000*-N22</f>
        <v>-21996.143440807034</v>
      </c>
      <c r="Q22" s="26">
        <v>0.97295799999999999</v>
      </c>
      <c r="R22" s="15">
        <f>R4/1000*Q22</f>
        <v>8329.9561759218868</v>
      </c>
      <c r="S22" s="34">
        <f>S5/1000*-Q22</f>
        <v>-22941.977608761736</v>
      </c>
      <c r="T22" s="26">
        <v>0.97295799999999999</v>
      </c>
      <c r="U22" s="15">
        <f>U4/1000*T22</f>
        <v>8933.877998676222</v>
      </c>
      <c r="V22" s="34">
        <f>V5/1000*-T22</f>
        <v>-23928.482645938486</v>
      </c>
      <c r="W22" s="26">
        <v>0.97295799999999999</v>
      </c>
      <c r="X22" s="15">
        <f>X4/1000*W22</f>
        <v>9581.5841535802501</v>
      </c>
      <c r="Y22" s="34">
        <f>Y5/1000*-W22</f>
        <v>-24957.407399713844</v>
      </c>
      <c r="Z22" s="26">
        <v>0.97295799999999999</v>
      </c>
      <c r="AA22" s="15">
        <f>AA4/1000*Z22</f>
        <v>10276.249004714819</v>
      </c>
      <c r="AB22" s="34">
        <f>AB5/1000*Z22</f>
        <v>26030.575917901533</v>
      </c>
      <c r="AC22" s="26">
        <v>0.97295799999999999</v>
      </c>
      <c r="AD22" s="15">
        <f>AD4/1000*AC22</f>
        <v>11021.277057556641</v>
      </c>
      <c r="AE22" s="34">
        <f>AE5/1000*AC22</f>
        <v>27149.890682371297</v>
      </c>
    </row>
    <row r="23" spans="1:31" x14ac:dyDescent="0.25">
      <c r="A23" s="23" t="s">
        <v>34</v>
      </c>
      <c r="B23" s="49">
        <v>1.3830629999999999</v>
      </c>
      <c r="C23" s="15">
        <f>C4/1000*B23</f>
        <v>8344.5723041999991</v>
      </c>
      <c r="D23" s="34">
        <f>D5/1000*-B23</f>
        <v>-26421.482326799996</v>
      </c>
      <c r="E23" s="26">
        <v>1.3830629999999999</v>
      </c>
      <c r="F23" s="35">
        <f>F4/1000*E23</f>
        <v>8949.5537962545004</v>
      </c>
      <c r="G23" s="34">
        <f>G5/1000*-E23</f>
        <v>-27557.606066852397</v>
      </c>
      <c r="H23" s="26">
        <v>1.3830629999999999</v>
      </c>
      <c r="I23" s="35">
        <f>I4/1000*H23</f>
        <v>9598.3964464829514</v>
      </c>
      <c r="J23" s="34">
        <f>J5/1000*-H23</f>
        <v>-28742.583127727048</v>
      </c>
      <c r="K23" s="26">
        <v>1.3830629999999999</v>
      </c>
      <c r="L23" s="15">
        <f>L4/1000*K23</f>
        <v>10294.280188852965</v>
      </c>
      <c r="M23" s="34">
        <f>M5/1000*-K23</f>
        <v>-29978.51420221931</v>
      </c>
      <c r="N23" s="26">
        <v>1.3830629999999999</v>
      </c>
      <c r="O23" s="15">
        <f>O4/1000*N23</f>
        <v>11040.615502544806</v>
      </c>
      <c r="P23" s="34">
        <f>P5/1000*-N23</f>
        <v>-31267.590312914741</v>
      </c>
      <c r="Q23" s="26">
        <v>1.3830629999999999</v>
      </c>
      <c r="R23" s="15">
        <f>R4/1000*Q23</f>
        <v>11841.060126479306</v>
      </c>
      <c r="S23" s="34">
        <f>S5/1000*-Q23</f>
        <v>-32612.09669637007</v>
      </c>
      <c r="T23" s="26">
        <v>1.3830629999999999</v>
      </c>
      <c r="U23" s="15">
        <f>U4/1000*T23</f>
        <v>12699.536985649054</v>
      </c>
      <c r="V23" s="34">
        <f>V5/1000*-T23</f>
        <v>-34014.416854313975</v>
      </c>
      <c r="W23" s="26">
        <v>1.3830629999999999</v>
      </c>
      <c r="X23" s="15">
        <f>X4/1000*W23</f>
        <v>13620.253417108612</v>
      </c>
      <c r="Y23" s="34">
        <f>Y5/1000*-W23</f>
        <v>-35477.036779049478</v>
      </c>
      <c r="Z23" s="26">
        <v>1.3830629999999999</v>
      </c>
      <c r="AA23" s="15">
        <f>AA4/1000*Z23</f>
        <v>14607.721789848987</v>
      </c>
      <c r="AB23" s="34">
        <f>AB5/1000*Z23</f>
        <v>37002.549360548604</v>
      </c>
      <c r="AC23" s="26">
        <v>1.3830629999999999</v>
      </c>
      <c r="AD23" s="15">
        <f>AD4/1000*AC23</f>
        <v>15666.781619613035</v>
      </c>
      <c r="AE23" s="34">
        <f>AE5/1000*AC23</f>
        <v>38593.658983052192</v>
      </c>
    </row>
    <row r="24" spans="1:31" x14ac:dyDescent="0.25">
      <c r="A24" s="23" t="s">
        <v>43</v>
      </c>
      <c r="B24" s="49">
        <v>1.5</v>
      </c>
      <c r="C24" s="15">
        <f>C4/1000*B24</f>
        <v>9050.0999999999985</v>
      </c>
      <c r="D24" s="34">
        <f>D5/1000*-B24</f>
        <v>-28655.399999999998</v>
      </c>
      <c r="E24" s="26">
        <v>1.5</v>
      </c>
      <c r="F24" s="35">
        <f>F4/1000*E24</f>
        <v>9706.2322500000009</v>
      </c>
      <c r="G24" s="34">
        <f>G5/1000*-E24</f>
        <v>-29887.582199999997</v>
      </c>
      <c r="H24" s="26">
        <v>1.5</v>
      </c>
      <c r="I24" s="35">
        <f>I4/1000*H24</f>
        <v>10409.934088124999</v>
      </c>
      <c r="J24" s="34">
        <f>J5/1000*-H24</f>
        <v>-31172.748234599996</v>
      </c>
      <c r="K24" s="26">
        <v>1.5</v>
      </c>
      <c r="L24" s="15">
        <f>L4/1000*K24</f>
        <v>11164.654309514062</v>
      </c>
      <c r="M24" s="34">
        <f>M5/1000*-K24</f>
        <v>-32513.176408687796</v>
      </c>
      <c r="N24" s="26">
        <v>1.5</v>
      </c>
      <c r="O24" s="15">
        <f>O4/1000*N24</f>
        <v>11974.091746953833</v>
      </c>
      <c r="P24" s="34">
        <f>P5/1000*-N24</f>
        <v>-33911.242994261367</v>
      </c>
      <c r="Q24" s="26">
        <v>1.5</v>
      </c>
      <c r="R24" s="15">
        <f>R4/1000*Q24</f>
        <v>12842.213398607986</v>
      </c>
      <c r="S24" s="34">
        <f>S5/1000*-Q24</f>
        <v>-35369.426443014599</v>
      </c>
      <c r="T24" s="26">
        <v>1.5</v>
      </c>
      <c r="U24" s="15">
        <f>U4/1000*T24</f>
        <v>13773.273870007066</v>
      </c>
      <c r="V24" s="34">
        <f>V5/1000*-T24</f>
        <v>-36890.311780064229</v>
      </c>
      <c r="W24" s="26">
        <v>1.5</v>
      </c>
      <c r="X24" s="15">
        <f>X4/1000*W24</f>
        <v>14771.83622558258</v>
      </c>
      <c r="Y24" s="34">
        <f>Y5/1000*-W24</f>
        <v>-38476.595186606988</v>
      </c>
      <c r="Z24" s="26">
        <v>1.5</v>
      </c>
      <c r="AA24" s="15">
        <f>AA4/1000*Z24</f>
        <v>15842.794351937317</v>
      </c>
      <c r="AB24" s="34">
        <f>AB5/1000*Z24</f>
        <v>40131.088779631085</v>
      </c>
      <c r="AC24" s="26">
        <v>1.5</v>
      </c>
      <c r="AD24" s="15">
        <f>AD4/1000*AC24</f>
        <v>16991.396942452768</v>
      </c>
      <c r="AE24" s="34">
        <f>AE5/1000*AC24</f>
        <v>41856.725597155222</v>
      </c>
    </row>
    <row r="25" spans="1:31" x14ac:dyDescent="0.25">
      <c r="A25" s="23"/>
      <c r="B25" s="49">
        <f>SUM(B9:B24)</f>
        <v>11.542364999999998</v>
      </c>
      <c r="C25" s="15"/>
      <c r="D25" s="34"/>
      <c r="E25" s="26">
        <f>SUM(E9:E24)</f>
        <v>11.542364999999998</v>
      </c>
      <c r="F25" s="35"/>
      <c r="G25" s="34"/>
      <c r="H25" s="26">
        <f>SUM(H9:H24)</f>
        <v>11.542364999999998</v>
      </c>
      <c r="I25" s="35"/>
      <c r="J25" s="34"/>
      <c r="K25" s="26">
        <f>SUM(K9:K24)</f>
        <v>11.542364999999998</v>
      </c>
      <c r="L25" s="15"/>
      <c r="M25" s="34"/>
      <c r="N25" s="26">
        <f>SUM(N9:N24)</f>
        <v>11.542364999999998</v>
      </c>
      <c r="O25" s="15"/>
      <c r="P25" s="34"/>
      <c r="Q25" s="26">
        <f>SUM(Q9:Q24)</f>
        <v>11.542364999999998</v>
      </c>
      <c r="S25" s="30"/>
      <c r="T25" s="26">
        <f>SUM(T9:T24)</f>
        <v>11.542364999999998</v>
      </c>
      <c r="U25" s="15"/>
      <c r="V25" s="34"/>
      <c r="W25" s="26">
        <f>SUM(W9:W24)</f>
        <v>11.542364999999998</v>
      </c>
      <c r="X25" s="15"/>
      <c r="Y25" s="34"/>
      <c r="Z25" s="26">
        <f>SUM(Z9:Z24)</f>
        <v>11.542364999999998</v>
      </c>
      <c r="AA25" s="15"/>
      <c r="AB25" s="34"/>
      <c r="AC25" s="26">
        <f>SUM(AC9:AC24)</f>
        <v>11.542364999999998</v>
      </c>
      <c r="AE25" s="30"/>
    </row>
    <row r="26" spans="1:31" x14ac:dyDescent="0.25">
      <c r="A26" s="23"/>
      <c r="C26" s="15"/>
      <c r="D26" s="15"/>
      <c r="E26" s="15"/>
      <c r="J26" s="15"/>
    </row>
    <row r="27" spans="1:31" x14ac:dyDescent="0.25">
      <c r="A27" s="24" t="s">
        <v>35</v>
      </c>
      <c r="C27" s="15">
        <f>SUM(C9:C26)</f>
        <v>69639.704990999977</v>
      </c>
      <c r="D27" s="15">
        <f>SUM(D9:D26)</f>
        <v>-220500.72401400001</v>
      </c>
      <c r="E27" s="15"/>
      <c r="F27" s="15">
        <f>SUM(F9:F26)</f>
        <v>74688.583602847502</v>
      </c>
      <c r="G27" s="15">
        <f>SUM(G9:G26)</f>
        <v>-229982.25514660196</v>
      </c>
      <c r="I27" s="15">
        <f>SUM(I9:I26)</f>
        <v>80103.505914053938</v>
      </c>
      <c r="J27" s="15">
        <f>SUM(J9:J26)</f>
        <v>-239871.49211790581</v>
      </c>
      <c r="L27" s="15">
        <f>SUM(L9:L26)</f>
        <v>85911.010092822849</v>
      </c>
      <c r="M27" s="15">
        <f>SUM(M9:M26)</f>
        <v>-250185.96627897577</v>
      </c>
      <c r="O27" s="15">
        <f>SUM(O9:O26)</f>
        <v>92139.558324552519</v>
      </c>
      <c r="P27" s="15">
        <f>SUM(P9:P26)</f>
        <v>-260943.96282897179</v>
      </c>
      <c r="R27" s="15">
        <f>SUM(R9:R26)</f>
        <v>98819.676303082597</v>
      </c>
      <c r="S27" s="15">
        <f>SUM(S9:S26)</f>
        <v>-272164.55323061749</v>
      </c>
      <c r="U27" s="15">
        <f>SUM(U9:U26)</f>
        <v>105984.10283505607</v>
      </c>
      <c r="V27" s="15">
        <f>SUM(V9:V26)</f>
        <v>-283867.62901953404</v>
      </c>
      <c r="X27" s="15">
        <f>SUM(X9:X26)</f>
        <v>113667.95029059764</v>
      </c>
      <c r="Y27" s="15">
        <f>SUM(Y9:Y26)</f>
        <v>-296073.937067374</v>
      </c>
      <c r="AA27" s="15">
        <f>SUM(AA9:AA26)</f>
        <v>121908.87668666599</v>
      </c>
      <c r="AB27" s="15">
        <f>SUM(AB9:AB26)</f>
        <v>308805.11636127101</v>
      </c>
      <c r="AD27" s="15">
        <f>SUM(AD9:AD26)</f>
        <v>130747.27024644922</v>
      </c>
      <c r="AE27" s="15">
        <f>SUM(AE9:AE26)</f>
        <v>322083.73636480566</v>
      </c>
    </row>
    <row r="28" spans="1:31" x14ac:dyDescent="0.25">
      <c r="A28" s="24"/>
      <c r="D28" s="15">
        <f>-C27+D27</f>
        <v>-290140.42900499998</v>
      </c>
      <c r="G28" s="15">
        <f>-F27+G27</f>
        <v>-304670.83874944947</v>
      </c>
      <c r="J28" s="15">
        <f>-I27+J27</f>
        <v>-319974.99803195975</v>
      </c>
      <c r="M28" s="15">
        <f>-L27+M27</f>
        <v>-336096.97637179861</v>
      </c>
      <c r="P28" s="15">
        <f>-O27+P27</f>
        <v>-353083.52115352429</v>
      </c>
      <c r="S28" s="15">
        <f>-R27+S27</f>
        <v>-370984.2295337001</v>
      </c>
      <c r="V28" s="15">
        <f>-U27+V27</f>
        <v>-389851.73185459012</v>
      </c>
      <c r="Y28" s="15">
        <f>-X27+Y27</f>
        <v>-409741.88735797163</v>
      </c>
      <c r="AB28" s="15">
        <f>AA27+AB27</f>
        <v>430713.99304793699</v>
      </c>
      <c r="AE28" s="15">
        <f>AD27+AE27</f>
        <v>452831.00661125488</v>
      </c>
    </row>
    <row r="29" spans="1:31" x14ac:dyDescent="0.25">
      <c r="A29" s="24" t="s">
        <v>36</v>
      </c>
    </row>
    <row r="30" spans="1:31" x14ac:dyDescent="0.25">
      <c r="A30" s="23" t="s">
        <v>37</v>
      </c>
      <c r="D30" s="15"/>
      <c r="E30" s="15"/>
    </row>
    <row r="31" spans="1:31" x14ac:dyDescent="0.25">
      <c r="A31" s="23" t="s">
        <v>38</v>
      </c>
    </row>
  </sheetData>
  <mergeCells count="7">
    <mergeCell ref="AD2:AE2"/>
    <mergeCell ref="AA2:AB2"/>
    <mergeCell ref="X2:Y2"/>
    <mergeCell ref="C2:D2"/>
    <mergeCell ref="F2:G2"/>
    <mergeCell ref="I2:J2"/>
    <mergeCell ref="L2:M2"/>
  </mergeCell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2" sqref="J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Sheet4</vt:lpstr>
    </vt:vector>
  </TitlesOfParts>
  <Company>City of Lakewood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Bugher</dc:creator>
  <cp:lastModifiedBy>Fritzel, Anne (COM)</cp:lastModifiedBy>
  <cp:lastPrinted>2020-01-02T16:18:52Z</cp:lastPrinted>
  <dcterms:created xsi:type="dcterms:W3CDTF">2019-12-24T18:32:16Z</dcterms:created>
  <dcterms:modified xsi:type="dcterms:W3CDTF">2020-11-11T01:35:06Z</dcterms:modified>
</cp:coreProperties>
</file>